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<sst xmlns="http://schemas.openxmlformats.org/spreadsheetml/2006/main" count="430" uniqueCount="137">
  <si>
    <t>Morgenmad, inkl. kaffe</t>
  </si>
  <si>
    <t>Middagsmad</t>
  </si>
  <si>
    <t xml:space="preserve"> - hovedret</t>
  </si>
  <si>
    <t xml:space="preserve"> - forret el. dessert</t>
  </si>
  <si>
    <t>Eftermiddagskaffe med brød</t>
  </si>
  <si>
    <t>Aftensmad</t>
  </si>
  <si>
    <t>Aftenkaffe m. brød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</si>
  <si>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</si>
  <si>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</si>
  <si>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</si>
  <si>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</si>
  <si>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</si>
  <si>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</si>
  <si>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</si>
  <si>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</si>
  <si>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</si>
  <si>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</si>
  <si>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</si>
  <si>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</si>
  <si>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</si>
  <si>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</si>
  <si>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</si>
  <si>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I. Madservice</t>
  </si>
  <si>
    <t>II. Betaling ved ophold på centre</t>
  </si>
  <si>
    <t xml:space="preserve"> - pr. dag</t>
  </si>
  <si>
    <t>Blå-</t>
  </si>
  <si>
    <t>vandshuk</t>
  </si>
  <si>
    <t>Forplejning:</t>
  </si>
  <si>
    <t>Nathjem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</si>
  <si>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</si>
  <si>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</si>
  <si>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</si>
  <si>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</si>
  <si>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</si>
  <si>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</si>
  <si>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</si>
  <si>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</si>
  <si>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Hovedret</t>
  </si>
  <si>
    <t>Forret eller dessert</t>
  </si>
  <si>
    <t xml:space="preserve">Takst </t>
  </si>
  <si>
    <t xml:space="preserve"> - pr. mdr. med 31 dage</t>
  </si>
  <si>
    <t>Fremskrevet 1,9%</t>
  </si>
  <si>
    <t>Fremskrevet 2,2%</t>
  </si>
  <si>
    <t>Takster - Ældreområdet</t>
  </si>
  <si>
    <t>Satsreguleringsprct.</t>
  </si>
  <si>
    <t>Note 2</t>
  </si>
  <si>
    <t>Note 3</t>
  </si>
  <si>
    <t>Note 4</t>
  </si>
  <si>
    <t>Pr. måned</t>
  </si>
  <si>
    <t>Fremskrevet 2,9%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</si>
  <si>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</si>
  <si>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</si>
  <si>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</si>
  <si>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</si>
  <si>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</si>
  <si>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</si>
  <si>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</si>
  <si>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</si>
  <si>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</si>
  <si>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</si>
  <si>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</si>
  <si>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</si>
  <si>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</si>
  <si>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</si>
  <si>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</si>
  <si>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</si>
  <si>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</si>
  <si>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</si>
  <si>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</si>
  <si>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</si>
  <si>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</si>
  <si>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</si>
  <si>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</si>
  <si>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</si>
  <si>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</si>
  <si>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</si>
  <si>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6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</si>
  <si>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</si>
  <si>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</si>
  <si>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</si>
  <si>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</si>
  <si>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</si>
  <si>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</si>
  <si>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TAKST        2013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</si>
  <si>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</si>
  <si>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</si>
  <si>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</si>
  <si>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</si>
  <si>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</si>
  <si>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</si>
  <si>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Bemærkninger</t>
  </si>
  <si>
    <t>Time</t>
  </si>
  <si>
    <t>Døgn</t>
  </si>
  <si>
    <t>Mdr.</t>
  </si>
  <si>
    <t>År</t>
  </si>
  <si>
    <t>I § 110-boformer</t>
  </si>
  <si>
    <t xml:space="preserve">  Midlert. ophold t. pers. m. særlige problemer: Center Bøgely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</si>
  <si>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</si>
  <si>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</si>
  <si>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</si>
  <si>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</si>
  <si>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</si>
  <si>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</si>
  <si>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</si>
  <si>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</si>
  <si>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I§108 -Boformer</t>
  </si>
  <si>
    <t xml:space="preserve">  Længerevarende ophold: Lunden og Bo-Østervang</t>
  </si>
  <si>
    <t>Forhøjet til maks. Betaling for brugere fra 2011</t>
  </si>
  <si>
    <t>Mad - inkl. tilberedning (note 1)</t>
  </si>
  <si>
    <t>Kostpris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</si>
  <si>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</si>
  <si>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</si>
  <si>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</si>
  <si>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</si>
  <si>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</si>
  <si>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</si>
  <si>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I botilbud efter § 107</t>
  </si>
  <si>
    <t xml:space="preserve"> Midlertidigt ophold: Aflastning, Krogen</t>
  </si>
  <si>
    <t>Note 1: De beboere, der deltager i tilberedningen af maden, betaler alene kostprisen.</t>
  </si>
  <si>
    <t>Note 2: Taksterne er fremskrevet med satsreguleringsprct. I lighed med takststiningen på loft over max. Betalingen for madservice på plejecenter og ældreboliger.</t>
  </si>
  <si>
    <t>Takster 2013</t>
  </si>
  <si>
    <t>Svarer til 38 kr. til forplejning og 11 kr. til vask og rengøring.</t>
  </si>
  <si>
    <t>Dok.nr. 142228-13</t>
  </si>
  <si>
    <t>Der er regnet med 9 vaske pr. mdr. Udgiften pr. vask er ca. 26 kr.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</si>
  <si>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</si>
  <si>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</si>
  <si>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</si>
  <si>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</si>
  <si>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</si>
  <si>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Forhøjet 2012 - 2013udover fremskrivning ved sammenligning med andre 110 institutioner</t>
  </si>
  <si>
    <t>dok,nr, 142228-13</t>
  </si>
  <si>
    <t>Fremskrevet Satsregulering</t>
  </si>
  <si>
    <t>Priserne er beregnet på grundlag af forventet forbrug beregnet på grundlag af 4 udvendige og</t>
  </si>
  <si>
    <t>Der er fastsat et loft på 3.374 kr. for den månedlige betaling iflg vejlening om reguleringer af satser pr,</t>
  </si>
  <si>
    <t>01.01.21014.</t>
  </si>
  <si>
    <t>incl.  træningsophold, aflastnings-, akut- og døgnrehabilliteringspladser</t>
  </si>
  <si>
    <t>Midlertidige Pladser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</si>
</sst>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4" borderId="3" applyNumberFormat="0" applyAlignment="0" applyProtection="0"/>
    <xf numFmtId="0" fontId="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179" fontId="1" fillId="33" borderId="18" xfId="40" applyNumberFormat="1" applyFont="1" applyFill="1" applyBorder="1" applyAlignment="1">
      <alignment/>
    </xf>
    <xf numFmtId="179" fontId="1" fillId="33" borderId="17" xfId="40" applyNumberFormat="1" applyFont="1" applyFill="1" applyBorder="1" applyAlignment="1">
      <alignment/>
    </xf>
    <xf numFmtId="179" fontId="1" fillId="33" borderId="16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/>
    </xf>
    <xf numFmtId="179" fontId="1" fillId="33" borderId="19" xfId="4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10" fontId="1" fillId="33" borderId="18" xfId="40" applyNumberFormat="1" applyFont="1" applyFill="1" applyBorder="1" applyAlignment="1">
      <alignment/>
    </xf>
    <xf numFmtId="10" fontId="1" fillId="33" borderId="16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33" borderId="18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3" fontId="0" fillId="33" borderId="0" xfId="40" applyNumberFormat="1" applyFont="1" applyFill="1" applyBorder="1" applyAlignment="1">
      <alignment/>
    </xf>
    <xf numFmtId="179" fontId="0" fillId="33" borderId="0" xfId="4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7" fillId="0" borderId="25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79" fontId="7" fillId="0" borderId="35" xfId="4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2" fillId="0" borderId="20" xfId="0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79" fontId="7" fillId="0" borderId="31" xfId="4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3" fontId="7" fillId="0" borderId="31" xfId="4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" fontId="7" fillId="0" borderId="27" xfId="0" applyNumberFormat="1" applyFont="1" applyBorder="1" applyAlignment="1">
      <alignment horizontal="center"/>
    </xf>
    <xf numFmtId="3" fontId="7" fillId="0" borderId="35" xfId="40" applyNumberFormat="1" applyFont="1" applyFill="1" applyBorder="1" applyAlignment="1">
      <alignment horizontal="center"/>
    </xf>
    <xf numFmtId="1" fontId="7" fillId="33" borderId="27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37" xfId="0" applyFont="1" applyBorder="1" applyAlignment="1">
      <alignment/>
    </xf>
    <xf numFmtId="179" fontId="7" fillId="0" borderId="31" xfId="4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79" fontId="7" fillId="0" borderId="35" xfId="4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7" fillId="0" borderId="40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 wrapText="1"/>
    </xf>
    <xf numFmtId="1" fontId="1" fillId="33" borderId="17" xfId="0" applyNumberFormat="1" applyFont="1" applyFill="1" applyBorder="1" applyAlignment="1">
      <alignment horizontal="center" wrapText="1"/>
    </xf>
    <xf numFmtId="3" fontId="1" fillId="33" borderId="18" xfId="40" applyNumberFormat="1" applyFont="1" applyFill="1" applyBorder="1" applyAlignment="1">
      <alignment/>
    </xf>
    <xf numFmtId="3" fontId="1" fillId="33" borderId="19" xfId="4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0" fontId="0" fillId="33" borderId="16" xfId="40" applyNumberFormat="1" applyFont="1" applyFill="1" applyBorder="1" applyAlignment="1">
      <alignment/>
    </xf>
    <xf numFmtId="10" fontId="0" fillId="33" borderId="0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/>
    </xf>
    <xf numFmtId="179" fontId="0" fillId="33" borderId="15" xfId="40" applyNumberFormat="1" applyFont="1" applyFill="1" applyBorder="1" applyAlignment="1">
      <alignment/>
    </xf>
    <xf numFmtId="179" fontId="0" fillId="33" borderId="12" xfId="40" applyNumberFormat="1" applyFont="1" applyFill="1" applyBorder="1" applyAlignment="1">
      <alignment/>
    </xf>
    <xf numFmtId="179" fontId="0" fillId="33" borderId="16" xfId="40" applyNumberFormat="1" applyFont="1" applyFill="1" applyBorder="1" applyAlignment="1">
      <alignment/>
    </xf>
    <xf numFmtId="10" fontId="0" fillId="33" borderId="18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 horizontal="right"/>
    </xf>
    <xf numFmtId="10" fontId="0" fillId="33" borderId="11" xfId="40" applyNumberFormat="1" applyFont="1" applyFill="1" applyBorder="1" applyAlignment="1">
      <alignment/>
    </xf>
    <xf numFmtId="179" fontId="0" fillId="33" borderId="42" xfId="40" applyNumberFormat="1" applyFont="1" applyFill="1" applyBorder="1" applyAlignment="1">
      <alignment/>
    </xf>
    <xf numFmtId="179" fontId="0" fillId="33" borderId="10" xfId="40" applyNumberFormat="1" applyFont="1" applyFill="1" applyBorder="1" applyAlignment="1">
      <alignment/>
    </xf>
    <xf numFmtId="179" fontId="0" fillId="33" borderId="19" xfId="4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10" fontId="0" fillId="33" borderId="43" xfId="0" applyNumberFormat="1" applyFont="1" applyFill="1" applyBorder="1" applyAlignment="1">
      <alignment/>
    </xf>
    <xf numFmtId="10" fontId="0" fillId="33" borderId="44" xfId="0" applyNumberFormat="1" applyFont="1" applyFill="1" applyBorder="1" applyAlignment="1">
      <alignment/>
    </xf>
    <xf numFmtId="10" fontId="0" fillId="33" borderId="45" xfId="0" applyNumberFormat="1" applyFont="1" applyFill="1" applyBorder="1" applyAlignment="1">
      <alignment/>
    </xf>
    <xf numFmtId="0" fontId="7" fillId="33" borderId="46" xfId="0" applyFont="1" applyFill="1" applyBorder="1" applyAlignment="1">
      <alignment horizontal="center"/>
    </xf>
    <xf numFmtId="1" fontId="7" fillId="33" borderId="47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" fontId="7" fillId="33" borderId="29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3" fontId="7" fillId="33" borderId="29" xfId="0" applyNumberFormat="1" applyFont="1" applyFill="1" applyBorder="1" applyAlignment="1">
      <alignment horizontal="center"/>
    </xf>
    <xf numFmtId="1" fontId="7" fillId="34" borderId="27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1" fontId="7" fillId="34" borderId="26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9" fontId="1" fillId="0" borderId="19" xfId="40" applyNumberFormat="1" applyFont="1" applyBorder="1" applyAlignment="1">
      <alignment/>
    </xf>
    <xf numFmtId="179" fontId="1" fillId="0" borderId="19" xfId="4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0" fillId="33" borderId="15" xfId="0" applyNumberFormat="1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0">
      <selection activeCell="S15" sqref="S15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7" width="14.28125" style="0" customWidth="1"/>
  </cols>
  <sheetData>
    <row r="1" spans="1:17" ht="15.75">
      <c r="A1" s="220" t="s">
        <v>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1"/>
      <c r="P1" s="221"/>
      <c r="Q1" s="221"/>
    </row>
    <row r="2" spans="1:2" ht="12.75" hidden="1">
      <c r="A2" s="35" t="s">
        <v>35</v>
      </c>
      <c r="B2" t="s">
        <v>36</v>
      </c>
    </row>
    <row r="3" spans="1:3" ht="12.75">
      <c r="A3" s="1"/>
      <c r="C3" t="s">
        <v>16</v>
      </c>
    </row>
    <row r="4" spans="1:17" ht="12.75">
      <c r="A4" s="17"/>
      <c r="B4" s="2"/>
      <c r="C4" s="2"/>
      <c r="D4" s="15"/>
      <c r="E4" s="16"/>
      <c r="F4" s="16"/>
      <c r="G4" s="16" t="s">
        <v>25</v>
      </c>
      <c r="H4" s="16"/>
      <c r="I4" s="30" t="s">
        <v>31</v>
      </c>
      <c r="J4" s="31" t="s">
        <v>32</v>
      </c>
      <c r="K4" s="30" t="s">
        <v>31</v>
      </c>
      <c r="L4" s="31" t="s">
        <v>34</v>
      </c>
      <c r="M4" s="31" t="s">
        <v>39</v>
      </c>
      <c r="N4" s="51" t="s">
        <v>39</v>
      </c>
      <c r="O4" s="158" t="s">
        <v>39</v>
      </c>
      <c r="P4" s="218" t="s">
        <v>83</v>
      </c>
      <c r="Q4" s="154" t="s">
        <v>31</v>
      </c>
    </row>
    <row r="5" spans="1:17" ht="12.75">
      <c r="A5" s="11"/>
      <c r="B5" s="10"/>
      <c r="C5" s="12"/>
      <c r="D5" s="13" t="s">
        <v>9</v>
      </c>
      <c r="E5" s="14" t="s">
        <v>10</v>
      </c>
      <c r="F5" s="14" t="s">
        <v>11</v>
      </c>
      <c r="G5" s="14" t="s">
        <v>26</v>
      </c>
      <c r="H5" s="14" t="s">
        <v>12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52">
        <v>2011</v>
      </c>
      <c r="O5" s="159">
        <v>2012</v>
      </c>
      <c r="P5" s="219"/>
      <c r="Q5" s="155">
        <v>2014</v>
      </c>
    </row>
    <row r="6" spans="1:17" ht="25.5">
      <c r="A6" s="5" t="s">
        <v>22</v>
      </c>
      <c r="B6" s="4"/>
      <c r="C6" s="203" t="s">
        <v>131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53"/>
      <c r="O6" s="160">
        <v>0.029</v>
      </c>
      <c r="P6" s="161">
        <v>0.016</v>
      </c>
      <c r="Q6" s="59">
        <v>0.018</v>
      </c>
    </row>
    <row r="7" spans="1:17" ht="12.75">
      <c r="A7" s="3" t="s">
        <v>37</v>
      </c>
      <c r="C7" s="4"/>
      <c r="D7" s="3">
        <v>36</v>
      </c>
      <c r="E7" s="4">
        <v>36</v>
      </c>
      <c r="F7" s="4">
        <v>36</v>
      </c>
      <c r="G7" s="4">
        <v>36</v>
      </c>
      <c r="H7" s="4">
        <v>36</v>
      </c>
      <c r="I7" s="21">
        <v>41</v>
      </c>
      <c r="J7" s="27">
        <f>+I7*1.047</f>
        <v>42.927</v>
      </c>
      <c r="K7" s="37">
        <v>47</v>
      </c>
      <c r="L7" s="32">
        <v>47</v>
      </c>
      <c r="M7" s="42">
        <v>45</v>
      </c>
      <c r="N7" s="54">
        <v>46</v>
      </c>
      <c r="O7" s="49">
        <v>47</v>
      </c>
      <c r="P7" s="67">
        <f>O7+(O7*$P$6)</f>
        <v>47.752</v>
      </c>
      <c r="Q7" s="46">
        <f>P7+(P7*Q6)</f>
        <v>48.611536</v>
      </c>
    </row>
    <row r="8" spans="1:17" ht="12.75">
      <c r="A8" s="11" t="s">
        <v>38</v>
      </c>
      <c r="B8" s="10"/>
      <c r="C8" s="10"/>
      <c r="D8" s="11">
        <v>12</v>
      </c>
      <c r="E8" s="10">
        <v>12</v>
      </c>
      <c r="F8" s="10">
        <v>12</v>
      </c>
      <c r="G8" s="10">
        <v>12</v>
      </c>
      <c r="H8" s="10">
        <v>12</v>
      </c>
      <c r="I8" s="22">
        <v>8</v>
      </c>
      <c r="J8" s="27">
        <f aca="true" t="shared" si="0" ref="J8:J20">+I8*1.047</f>
        <v>8.376</v>
      </c>
      <c r="K8" s="38">
        <v>9</v>
      </c>
      <c r="L8" s="33">
        <v>9</v>
      </c>
      <c r="M8" s="42">
        <f>+K8*1.031</f>
        <v>9.279</v>
      </c>
      <c r="N8" s="55">
        <v>10</v>
      </c>
      <c r="O8" s="162">
        <f>N8+(N8*O$6)</f>
        <v>10.29</v>
      </c>
      <c r="P8" s="67">
        <f>O8+(O8*$P$6)</f>
        <v>10.45464</v>
      </c>
      <c r="Q8" s="46">
        <v>10</v>
      </c>
    </row>
    <row r="9" spans="1:17" ht="12.75">
      <c r="A9" s="3"/>
      <c r="B9" s="4"/>
      <c r="C9" s="4"/>
      <c r="D9" s="4"/>
      <c r="E9" s="4"/>
      <c r="F9" s="4"/>
      <c r="G9" s="4"/>
      <c r="H9" s="4"/>
      <c r="I9" s="21"/>
      <c r="J9" s="29" t="s">
        <v>16</v>
      </c>
      <c r="K9" s="21"/>
      <c r="L9" s="26"/>
      <c r="M9" s="43" t="s">
        <v>16</v>
      </c>
      <c r="N9" s="54"/>
      <c r="O9" s="49"/>
      <c r="P9" s="163"/>
      <c r="Q9" s="48"/>
    </row>
    <row r="10" spans="1:17" ht="12.75">
      <c r="A10" s="9" t="s">
        <v>23</v>
      </c>
      <c r="B10" s="10"/>
      <c r="C10" s="10"/>
      <c r="D10" s="10"/>
      <c r="E10" s="10"/>
      <c r="F10" s="10"/>
      <c r="G10" s="10"/>
      <c r="H10" s="10"/>
      <c r="I10" s="22"/>
      <c r="J10" s="28" t="s">
        <v>16</v>
      </c>
      <c r="K10" s="22"/>
      <c r="L10" s="34"/>
      <c r="M10" s="44" t="s">
        <v>16</v>
      </c>
      <c r="N10" s="54"/>
      <c r="O10" s="49"/>
      <c r="P10" s="164"/>
      <c r="Q10" s="47"/>
    </row>
    <row r="11" spans="1:17" ht="12.75">
      <c r="A11" s="3"/>
      <c r="B11" s="4"/>
      <c r="C11" s="4"/>
      <c r="D11" s="3"/>
      <c r="E11" s="4"/>
      <c r="F11" s="4"/>
      <c r="G11" s="4"/>
      <c r="H11" s="4"/>
      <c r="I11" s="21"/>
      <c r="J11" s="27" t="s">
        <v>16</v>
      </c>
      <c r="K11" s="21"/>
      <c r="L11" s="26"/>
      <c r="M11" s="42" t="s">
        <v>16</v>
      </c>
      <c r="N11" s="56"/>
      <c r="O11" s="165"/>
      <c r="P11" s="67"/>
      <c r="Q11" s="48"/>
    </row>
    <row r="12" spans="1:17" ht="12.75">
      <c r="A12" s="5" t="s">
        <v>13</v>
      </c>
      <c r="B12" s="4"/>
      <c r="C12" s="4" t="s">
        <v>44</v>
      </c>
      <c r="D12" s="3"/>
      <c r="E12" s="4"/>
      <c r="F12" s="4"/>
      <c r="G12" s="4"/>
      <c r="H12" s="4"/>
      <c r="I12" s="21"/>
      <c r="J12" s="27" t="s">
        <v>16</v>
      </c>
      <c r="K12" s="21"/>
      <c r="L12" s="26"/>
      <c r="M12" s="42" t="s">
        <v>16</v>
      </c>
      <c r="N12" s="54"/>
      <c r="O12" s="166">
        <v>0.029</v>
      </c>
      <c r="P12" s="161">
        <v>0.016</v>
      </c>
      <c r="Q12" s="58">
        <v>0.018</v>
      </c>
    </row>
    <row r="13" spans="1:17" ht="12.75">
      <c r="A13" s="3"/>
      <c r="B13" s="4"/>
      <c r="C13" s="4"/>
      <c r="D13" s="3"/>
      <c r="E13" s="4"/>
      <c r="F13" s="4"/>
      <c r="G13" s="4"/>
      <c r="H13" s="4"/>
      <c r="I13" s="21"/>
      <c r="J13" s="27" t="s">
        <v>16</v>
      </c>
      <c r="K13" s="21"/>
      <c r="L13" s="26"/>
      <c r="M13" s="42" t="s">
        <v>16</v>
      </c>
      <c r="N13" s="54"/>
      <c r="O13" s="49"/>
      <c r="P13" s="67"/>
      <c r="Q13" s="46"/>
    </row>
    <row r="14" spans="1:18" ht="12.75">
      <c r="A14" s="3" t="s">
        <v>0</v>
      </c>
      <c r="B14" s="4"/>
      <c r="C14" s="4"/>
      <c r="D14" s="3">
        <v>9</v>
      </c>
      <c r="E14" s="4">
        <v>18</v>
      </c>
      <c r="F14" s="4">
        <v>15.25</v>
      </c>
      <c r="G14" s="4"/>
      <c r="H14" s="4"/>
      <c r="I14" s="21">
        <v>14</v>
      </c>
      <c r="J14" s="27">
        <f t="shared" si="0"/>
        <v>14.658</v>
      </c>
      <c r="K14" s="21">
        <v>15</v>
      </c>
      <c r="L14" s="25">
        <v>16</v>
      </c>
      <c r="M14" s="45">
        <f>+K14*1.031</f>
        <v>15.464999999999998</v>
      </c>
      <c r="N14" s="57">
        <v>16</v>
      </c>
      <c r="O14" s="61">
        <f>N14+(N14*O$12)</f>
        <v>16.464</v>
      </c>
      <c r="P14" s="67">
        <f>O14+(O14*$P$12)</f>
        <v>16.727424</v>
      </c>
      <c r="Q14" s="46">
        <f>P14+(P14*$Q$6)</f>
        <v>17.028517632</v>
      </c>
      <c r="R14" s="1"/>
    </row>
    <row r="15" spans="1:18" ht="12.75">
      <c r="A15" s="3" t="s">
        <v>1</v>
      </c>
      <c r="B15" s="4"/>
      <c r="C15" s="4"/>
      <c r="D15" s="3"/>
      <c r="E15" s="4">
        <v>44</v>
      </c>
      <c r="F15" s="4"/>
      <c r="G15" s="4"/>
      <c r="H15" s="4"/>
      <c r="I15" s="21"/>
      <c r="J15" s="27" t="s">
        <v>33</v>
      </c>
      <c r="K15" s="21"/>
      <c r="L15" s="25"/>
      <c r="M15" s="45" t="s">
        <v>16</v>
      </c>
      <c r="N15" s="57"/>
      <c r="O15" s="61"/>
      <c r="P15" s="66"/>
      <c r="Q15" s="46"/>
      <c r="R15" s="1"/>
    </row>
    <row r="16" spans="1:18" ht="12.75">
      <c r="A16" s="3" t="s">
        <v>2</v>
      </c>
      <c r="B16" s="4"/>
      <c r="C16" s="4"/>
      <c r="D16" s="3">
        <v>32</v>
      </c>
      <c r="E16" s="4" t="s">
        <v>16</v>
      </c>
      <c r="F16" s="4">
        <v>32.5</v>
      </c>
      <c r="G16" s="4"/>
      <c r="H16" s="4"/>
      <c r="I16" s="21">
        <v>41</v>
      </c>
      <c r="J16" s="27">
        <f t="shared" si="0"/>
        <v>42.927</v>
      </c>
      <c r="K16" s="21">
        <v>47</v>
      </c>
      <c r="L16" s="25">
        <v>47</v>
      </c>
      <c r="M16" s="45">
        <f>+K16*1.031</f>
        <v>48.456999999999994</v>
      </c>
      <c r="N16" s="57">
        <v>46</v>
      </c>
      <c r="O16" s="61">
        <f>N16+(N16*O$12)</f>
        <v>47.334</v>
      </c>
      <c r="P16" s="67">
        <f>O16+(O16*$P$12)</f>
        <v>48.09134400000001</v>
      </c>
      <c r="Q16" s="46">
        <f>P16+(P16*$Q$6)</f>
        <v>48.956988192000004</v>
      </c>
      <c r="R16" s="1"/>
    </row>
    <row r="17" spans="1:18" ht="12.75">
      <c r="A17" s="3" t="s">
        <v>3</v>
      </c>
      <c r="B17" s="4"/>
      <c r="C17" s="4"/>
      <c r="D17" s="3">
        <v>8</v>
      </c>
      <c r="E17" s="4"/>
      <c r="F17" s="4">
        <v>6</v>
      </c>
      <c r="G17" s="4"/>
      <c r="H17" s="4"/>
      <c r="I17" s="21">
        <v>8</v>
      </c>
      <c r="J17" s="27">
        <f t="shared" si="0"/>
        <v>8.376</v>
      </c>
      <c r="K17" s="21">
        <v>9</v>
      </c>
      <c r="L17" s="25">
        <v>9</v>
      </c>
      <c r="M17" s="45">
        <f>+K17*1.031</f>
        <v>9.279</v>
      </c>
      <c r="N17" s="57">
        <v>10</v>
      </c>
      <c r="O17" s="61">
        <f>N17+(N17*O$12)</f>
        <v>10.29</v>
      </c>
      <c r="P17" s="67">
        <f>O17+(O17*$P$12)</f>
        <v>10.45464</v>
      </c>
      <c r="Q17" s="46">
        <f>P17+(P17*$Q$6)-1</f>
        <v>9.64282352</v>
      </c>
      <c r="R17" s="1"/>
    </row>
    <row r="18" spans="1:18" ht="12.75">
      <c r="A18" s="3" t="s">
        <v>4</v>
      </c>
      <c r="B18" s="4"/>
      <c r="C18" s="4"/>
      <c r="D18" s="3">
        <v>4</v>
      </c>
      <c r="E18" s="4"/>
      <c r="F18" s="4">
        <v>7</v>
      </c>
      <c r="G18" s="4"/>
      <c r="H18" s="4"/>
      <c r="I18" s="21">
        <v>5</v>
      </c>
      <c r="J18" s="27">
        <f t="shared" si="0"/>
        <v>5.234999999999999</v>
      </c>
      <c r="K18" s="21">
        <v>5</v>
      </c>
      <c r="L18" s="25">
        <v>6</v>
      </c>
      <c r="M18" s="45">
        <f>+K18*1.031</f>
        <v>5.154999999999999</v>
      </c>
      <c r="N18" s="57">
        <v>6</v>
      </c>
      <c r="O18" s="61">
        <f>N18+(N18*O$12)</f>
        <v>6.174</v>
      </c>
      <c r="P18" s="67">
        <f>O18+(O18*$P$12)</f>
        <v>6.272784000000001</v>
      </c>
      <c r="Q18" s="46">
        <f>P18+(P18*$Q$6)</f>
        <v>6.385694112</v>
      </c>
      <c r="R18" s="1"/>
    </row>
    <row r="19" spans="1:18" ht="12.75">
      <c r="A19" s="3" t="s">
        <v>5</v>
      </c>
      <c r="B19" s="4"/>
      <c r="C19" s="4"/>
      <c r="D19" s="3">
        <v>22</v>
      </c>
      <c r="E19" s="4">
        <v>24</v>
      </c>
      <c r="F19" s="4">
        <v>19.75</v>
      </c>
      <c r="G19" s="4"/>
      <c r="H19" s="4"/>
      <c r="I19" s="21">
        <v>17</v>
      </c>
      <c r="J19" s="27">
        <f t="shared" si="0"/>
        <v>17.799</v>
      </c>
      <c r="K19" s="21">
        <v>18</v>
      </c>
      <c r="L19" s="25">
        <v>20</v>
      </c>
      <c r="M19" s="45">
        <f>+K19*1.031</f>
        <v>18.558</v>
      </c>
      <c r="N19" s="57">
        <v>20</v>
      </c>
      <c r="O19" s="61">
        <v>22</v>
      </c>
      <c r="P19" s="67">
        <f>O19+(O19*$P$12)</f>
        <v>22.352</v>
      </c>
      <c r="Q19" s="46">
        <f>P19+(P19*$Q$6)</f>
        <v>22.754336</v>
      </c>
      <c r="R19" s="1"/>
    </row>
    <row r="20" spans="1:18" ht="12.75">
      <c r="A20" s="3" t="s">
        <v>6</v>
      </c>
      <c r="B20" s="4"/>
      <c r="C20" s="4"/>
      <c r="D20" s="3">
        <v>4</v>
      </c>
      <c r="E20" s="4"/>
      <c r="F20" s="4">
        <v>2.5</v>
      </c>
      <c r="G20" s="4"/>
      <c r="H20" s="4"/>
      <c r="I20" s="21">
        <v>5</v>
      </c>
      <c r="J20" s="27">
        <f t="shared" si="0"/>
        <v>5.234999999999999</v>
      </c>
      <c r="K20" s="21">
        <v>5</v>
      </c>
      <c r="L20" s="25">
        <v>6</v>
      </c>
      <c r="M20" s="45">
        <f>+K20*1.031</f>
        <v>5.154999999999999</v>
      </c>
      <c r="N20" s="57">
        <v>6</v>
      </c>
      <c r="O20" s="61">
        <f>N20+(N20*O$12)</f>
        <v>6.174</v>
      </c>
      <c r="P20" s="67">
        <f>O20+(O20*$P$12)</f>
        <v>6.272784000000001</v>
      </c>
      <c r="Q20" s="46">
        <f>P20+(P20*$Q$6)</f>
        <v>6.385694112</v>
      </c>
      <c r="R20" s="1"/>
    </row>
    <row r="21" spans="1:18" ht="12.75">
      <c r="A21" s="3"/>
      <c r="B21" s="4"/>
      <c r="C21" s="4"/>
      <c r="D21" s="3"/>
      <c r="E21" s="4"/>
      <c r="F21" s="4"/>
      <c r="G21" s="4"/>
      <c r="H21" s="4"/>
      <c r="I21" s="21" t="s">
        <v>16</v>
      </c>
      <c r="J21" s="27" t="s">
        <v>16</v>
      </c>
      <c r="K21" s="21"/>
      <c r="L21" s="25"/>
      <c r="M21" s="45" t="s">
        <v>16</v>
      </c>
      <c r="N21" s="57"/>
      <c r="O21" s="49"/>
      <c r="P21" s="67"/>
      <c r="Q21" s="49"/>
      <c r="R21" s="1"/>
    </row>
    <row r="22" spans="1:18" ht="12.75">
      <c r="A22" s="3" t="s">
        <v>21</v>
      </c>
      <c r="B22" s="4"/>
      <c r="C22" s="4"/>
      <c r="D22" s="3"/>
      <c r="E22" s="4"/>
      <c r="F22" s="4"/>
      <c r="G22" s="4"/>
      <c r="H22" s="4"/>
      <c r="I22" s="21"/>
      <c r="J22" s="27" t="s">
        <v>16</v>
      </c>
      <c r="K22" s="21"/>
      <c r="L22" s="25"/>
      <c r="M22" s="45" t="s">
        <v>16</v>
      </c>
      <c r="N22" s="57"/>
      <c r="O22" s="49"/>
      <c r="P22" s="67"/>
      <c r="Q22" s="49"/>
      <c r="R22" s="1"/>
    </row>
    <row r="23" spans="1:18" ht="12.75">
      <c r="A23" s="3" t="s">
        <v>24</v>
      </c>
      <c r="B23" s="4"/>
      <c r="C23" s="4"/>
      <c r="D23" s="8">
        <f>SUM(D14:D22)</f>
        <v>79</v>
      </c>
      <c r="E23" s="6">
        <f>SUM(E14:E22)</f>
        <v>86</v>
      </c>
      <c r="F23" s="6">
        <f>SUM(F14:F22)</f>
        <v>83</v>
      </c>
      <c r="G23" s="6">
        <f>SUM(G14:G22)</f>
        <v>0</v>
      </c>
      <c r="H23" s="6">
        <v>108</v>
      </c>
      <c r="I23" s="21">
        <f>SUM(I14:I22)</f>
        <v>90</v>
      </c>
      <c r="J23" s="27">
        <f>SUM(J14:J20)</f>
        <v>94.23</v>
      </c>
      <c r="K23" s="21">
        <f>SUM(K14:K20)</f>
        <v>99</v>
      </c>
      <c r="L23" s="25">
        <f>SUM(L14:L20)</f>
        <v>104</v>
      </c>
      <c r="M23" s="45">
        <f>SUM(M14:M20)</f>
        <v>102.06899999999999</v>
      </c>
      <c r="N23" s="57">
        <v>104</v>
      </c>
      <c r="O23" s="62">
        <v>107.25</v>
      </c>
      <c r="P23" s="67">
        <f>O23+(O23*$P$12)</f>
        <v>108.966</v>
      </c>
      <c r="Q23" s="46">
        <f>SUM(Q14:Q20)</f>
        <v>111.154053568</v>
      </c>
      <c r="R23" s="1"/>
    </row>
    <row r="24" spans="1:18" ht="12.75">
      <c r="A24" s="60" t="s">
        <v>48</v>
      </c>
      <c r="B24" s="4"/>
      <c r="C24" s="4"/>
      <c r="D24" s="6"/>
      <c r="E24" s="6"/>
      <c r="F24" s="6"/>
      <c r="G24" s="6"/>
      <c r="H24" s="6"/>
      <c r="I24" s="21"/>
      <c r="J24" s="27"/>
      <c r="K24" s="21"/>
      <c r="L24" s="25"/>
      <c r="M24" s="45"/>
      <c r="N24" s="57"/>
      <c r="O24" s="62">
        <f>O23*365/12</f>
        <v>3262.1875</v>
      </c>
      <c r="P24" s="67">
        <f>O24+(O24*$P$12)</f>
        <v>3314.3825</v>
      </c>
      <c r="Q24" s="46">
        <v>3374</v>
      </c>
      <c r="R24" s="35" t="s">
        <v>50</v>
      </c>
    </row>
    <row r="25" spans="1:17" ht="12.75">
      <c r="A25" s="3" t="s">
        <v>73</v>
      </c>
      <c r="B25" s="4"/>
      <c r="C25" s="4"/>
      <c r="D25" s="10">
        <f aca="true" t="shared" si="1" ref="D25:I25">+D23*30</f>
        <v>2370</v>
      </c>
      <c r="E25" s="10">
        <f t="shared" si="1"/>
        <v>2580</v>
      </c>
      <c r="F25" s="10">
        <f t="shared" si="1"/>
        <v>2490</v>
      </c>
      <c r="G25" s="10">
        <v>1600</v>
      </c>
      <c r="H25" s="10">
        <f t="shared" si="1"/>
        <v>3240</v>
      </c>
      <c r="I25" s="22">
        <f t="shared" si="1"/>
        <v>2700</v>
      </c>
      <c r="J25" s="28">
        <f>94*30</f>
        <v>2820</v>
      </c>
      <c r="K25" s="39">
        <f>+(K23)*30</f>
        <v>2970</v>
      </c>
      <c r="L25" s="28">
        <f>+(L23)*30</f>
        <v>3120</v>
      </c>
      <c r="M25" s="42">
        <v>3060</v>
      </c>
      <c r="N25" s="54">
        <v>3120</v>
      </c>
      <c r="O25" s="62">
        <f>O23*30</f>
        <v>3217.5</v>
      </c>
      <c r="P25" s="67">
        <f>O25+(O25*$P$12)</f>
        <v>3268.98</v>
      </c>
      <c r="Q25" s="46">
        <f>Q24*12/365*30</f>
        <v>3327.780821917808</v>
      </c>
    </row>
    <row r="26" spans="1:17" ht="12.75">
      <c r="A26" s="11" t="s">
        <v>40</v>
      </c>
      <c r="B26" s="10"/>
      <c r="C26" s="12"/>
      <c r="D26" s="3"/>
      <c r="E26" s="4"/>
      <c r="F26" s="4"/>
      <c r="G26" s="4"/>
      <c r="H26" s="4"/>
      <c r="I26" s="21"/>
      <c r="J26" s="27"/>
      <c r="K26" s="40"/>
      <c r="L26" s="27"/>
      <c r="M26" s="42">
        <v>3111</v>
      </c>
      <c r="N26" s="55">
        <v>3170</v>
      </c>
      <c r="O26" s="167">
        <f>O23*31</f>
        <v>3324.75</v>
      </c>
      <c r="P26" s="67">
        <f>O26+(O26*$P$12)</f>
        <v>3377.946</v>
      </c>
      <c r="Q26" s="47">
        <f>Q24*12/365*31</f>
        <v>3438.706849315068</v>
      </c>
    </row>
    <row r="27" spans="1:17" ht="12.75">
      <c r="A27" s="3"/>
      <c r="B27" s="4"/>
      <c r="C27" s="4"/>
      <c r="D27" s="3"/>
      <c r="E27" s="4"/>
      <c r="F27" s="4"/>
      <c r="G27" s="4"/>
      <c r="H27" s="4"/>
      <c r="I27" s="21"/>
      <c r="J27" s="27" t="s">
        <v>16</v>
      </c>
      <c r="K27" s="21"/>
      <c r="L27" s="26"/>
      <c r="M27" s="43" t="s">
        <v>16</v>
      </c>
      <c r="N27" s="54"/>
      <c r="O27" s="49"/>
      <c r="P27" s="163"/>
      <c r="Q27" s="48"/>
    </row>
    <row r="28" spans="1:17" ht="12.75">
      <c r="A28" s="5" t="s">
        <v>14</v>
      </c>
      <c r="B28" s="4"/>
      <c r="C28" s="4" t="s">
        <v>16</v>
      </c>
      <c r="D28" s="3"/>
      <c r="E28" s="4"/>
      <c r="F28" s="4"/>
      <c r="G28" s="4"/>
      <c r="H28" s="4"/>
      <c r="I28" s="21"/>
      <c r="J28" s="27" t="s">
        <v>16</v>
      </c>
      <c r="K28" s="21"/>
      <c r="L28" s="26"/>
      <c r="M28" s="42" t="s">
        <v>16</v>
      </c>
      <c r="N28" s="54" t="s">
        <v>41</v>
      </c>
      <c r="O28" s="49" t="s">
        <v>42</v>
      </c>
      <c r="P28" s="168">
        <v>0.016</v>
      </c>
      <c r="Q28" s="58">
        <v>0.018</v>
      </c>
    </row>
    <row r="29" spans="1:17" ht="12.75">
      <c r="A29" s="3"/>
      <c r="B29" s="4"/>
      <c r="C29" s="4"/>
      <c r="D29" s="3"/>
      <c r="E29" s="4"/>
      <c r="F29" s="4"/>
      <c r="G29" s="4"/>
      <c r="H29" s="4"/>
      <c r="I29" s="21"/>
      <c r="J29" s="27" t="s">
        <v>16</v>
      </c>
      <c r="K29" s="21"/>
      <c r="L29" s="26"/>
      <c r="M29" s="42" t="s">
        <v>16</v>
      </c>
      <c r="N29" s="54"/>
      <c r="O29" s="49"/>
      <c r="P29" s="164"/>
      <c r="Q29" s="47"/>
    </row>
    <row r="30" spans="1:17" ht="12.75">
      <c r="A30" s="3" t="s">
        <v>68</v>
      </c>
      <c r="B30" s="4"/>
      <c r="C30" s="4"/>
      <c r="D30" s="3"/>
      <c r="E30" s="4"/>
      <c r="F30" s="4"/>
      <c r="G30" s="4"/>
      <c r="H30" s="4"/>
      <c r="I30" s="21">
        <v>200</v>
      </c>
      <c r="J30" s="27">
        <f>+I30*1.047</f>
        <v>209.39999999999998</v>
      </c>
      <c r="K30" s="40">
        <f>J30</f>
        <v>209.39999999999998</v>
      </c>
      <c r="L30" s="27">
        <f>+J30</f>
        <v>209.39999999999998</v>
      </c>
      <c r="M30" s="42"/>
      <c r="N30" s="56"/>
      <c r="O30" s="165"/>
      <c r="P30" s="67"/>
      <c r="Q30" s="46"/>
    </row>
    <row r="31" spans="1:17" ht="12.75" hidden="1">
      <c r="A31" s="3" t="s">
        <v>29</v>
      </c>
      <c r="B31" s="4"/>
      <c r="C31" s="4"/>
      <c r="D31" s="3"/>
      <c r="E31" s="4">
        <v>220</v>
      </c>
      <c r="F31" s="4"/>
      <c r="G31" s="4"/>
      <c r="H31" s="4"/>
      <c r="I31" s="21"/>
      <c r="J31" s="27">
        <f>+I31*1.045</f>
        <v>0</v>
      </c>
      <c r="K31" s="40">
        <f>+I31*1.045</f>
        <v>0</v>
      </c>
      <c r="L31" s="27">
        <f>+J31*1.045</f>
        <v>0</v>
      </c>
      <c r="M31" s="42">
        <f>+K31*1.031</f>
        <v>0</v>
      </c>
      <c r="N31" s="54"/>
      <c r="O31" s="49"/>
      <c r="P31" s="67"/>
      <c r="Q31" s="46"/>
    </row>
    <row r="32" spans="1:18" ht="12.75">
      <c r="A32" s="63" t="s">
        <v>74</v>
      </c>
      <c r="B32" s="4"/>
      <c r="C32" s="4"/>
      <c r="D32" s="3"/>
      <c r="E32" s="4"/>
      <c r="F32" s="4"/>
      <c r="G32" s="4"/>
      <c r="H32" s="4"/>
      <c r="I32" s="21"/>
      <c r="J32" s="27"/>
      <c r="K32" s="40"/>
      <c r="L32" s="27"/>
      <c r="M32" s="42"/>
      <c r="N32" s="54">
        <v>36</v>
      </c>
      <c r="O32" s="49">
        <v>36</v>
      </c>
      <c r="P32" s="67">
        <f>O32+(O32*$P$28)</f>
        <v>36.576</v>
      </c>
      <c r="Q32" s="156">
        <f>P32+(P32*$Q$28)</f>
        <v>37.234368</v>
      </c>
      <c r="R32" t="s">
        <v>45</v>
      </c>
    </row>
    <row r="33" spans="1:18" ht="12.75">
      <c r="A33" s="63" t="s">
        <v>75</v>
      </c>
      <c r="B33" s="4"/>
      <c r="C33" s="4"/>
      <c r="D33" s="3"/>
      <c r="E33" s="4"/>
      <c r="F33" s="4"/>
      <c r="G33" s="4"/>
      <c r="H33" s="4"/>
      <c r="I33" s="21"/>
      <c r="J33" s="27"/>
      <c r="K33" s="40"/>
      <c r="L33" s="27"/>
      <c r="M33" s="42">
        <v>216</v>
      </c>
      <c r="N33" s="54">
        <v>220</v>
      </c>
      <c r="O33" s="49">
        <v>225</v>
      </c>
      <c r="P33" s="67">
        <f>O33+(O33*$P$28)</f>
        <v>228.6</v>
      </c>
      <c r="Q33" s="156">
        <f>P33+(P33*$Q$28)</f>
        <v>232.7148</v>
      </c>
      <c r="R33" t="s">
        <v>46</v>
      </c>
    </row>
    <row r="34" spans="1:18" ht="12.75">
      <c r="A34" s="3" t="s">
        <v>7</v>
      </c>
      <c r="B34" s="4"/>
      <c r="C34" s="4"/>
      <c r="D34" s="3">
        <v>50</v>
      </c>
      <c r="E34" s="4"/>
      <c r="F34" s="4">
        <v>40.5</v>
      </c>
      <c r="G34" s="4"/>
      <c r="H34" s="4"/>
      <c r="I34" s="21">
        <v>50</v>
      </c>
      <c r="J34" s="27">
        <f>+I34*1.047</f>
        <v>52.349999999999994</v>
      </c>
      <c r="K34" s="40">
        <f>J34</f>
        <v>52.349999999999994</v>
      </c>
      <c r="L34" s="27">
        <f>+J34</f>
        <v>52.349999999999994</v>
      </c>
      <c r="M34" s="42">
        <f>+K34*1.031</f>
        <v>53.97284999999999</v>
      </c>
      <c r="N34" s="54">
        <v>55</v>
      </c>
      <c r="O34" s="165">
        <v>66</v>
      </c>
      <c r="P34" s="169">
        <f>O34+(O34*$P$28)</f>
        <v>67.056</v>
      </c>
      <c r="Q34" s="157">
        <f>P34+(P34*$Q$28)</f>
        <v>68.263008</v>
      </c>
      <c r="R34" t="s">
        <v>47</v>
      </c>
    </row>
    <row r="35" spans="1:17" ht="12.75">
      <c r="A35" s="3" t="s">
        <v>8</v>
      </c>
      <c r="B35" s="4"/>
      <c r="C35" s="4"/>
      <c r="D35" s="3">
        <v>40</v>
      </c>
      <c r="E35" s="4"/>
      <c r="F35" s="4"/>
      <c r="G35" s="4"/>
      <c r="H35" s="4"/>
      <c r="I35" s="23">
        <v>41</v>
      </c>
      <c r="J35" s="27">
        <f>+I35*1.047</f>
        <v>42.927</v>
      </c>
      <c r="K35" s="40">
        <f>J35</f>
        <v>42.927</v>
      </c>
      <c r="L35" s="27">
        <f>+J35</f>
        <v>42.927</v>
      </c>
      <c r="M35" s="42">
        <f>+K35*1.031</f>
        <v>44.257737</v>
      </c>
      <c r="N35" s="54">
        <v>45</v>
      </c>
      <c r="O35" s="165"/>
      <c r="P35" s="169"/>
      <c r="Q35" s="156"/>
    </row>
    <row r="36" spans="1:18" ht="12.75">
      <c r="A36" s="11" t="s">
        <v>30</v>
      </c>
      <c r="B36" s="10"/>
      <c r="C36" s="10"/>
      <c r="D36" s="11">
        <v>45</v>
      </c>
      <c r="E36" s="10"/>
      <c r="F36" s="10"/>
      <c r="G36" s="10"/>
      <c r="H36" s="10"/>
      <c r="I36" s="24">
        <v>50</v>
      </c>
      <c r="J36" s="28">
        <f>+I36*1.047</f>
        <v>52.349999999999994</v>
      </c>
      <c r="K36" s="39">
        <f>J36</f>
        <v>52.349999999999994</v>
      </c>
      <c r="L36" s="28">
        <f>+J36</f>
        <v>52.349999999999994</v>
      </c>
      <c r="M36" s="44">
        <f>+K36*1.031</f>
        <v>53.97284999999999</v>
      </c>
      <c r="N36" s="55">
        <v>55</v>
      </c>
      <c r="O36" s="165">
        <v>24</v>
      </c>
      <c r="P36" s="169">
        <f>O36+(O36*$P$28)</f>
        <v>24.384</v>
      </c>
      <c r="Q36" s="157">
        <f aca="true" t="shared" si="2" ref="Q36:Q48">P36+(P36*$Q$28)</f>
        <v>24.822912</v>
      </c>
      <c r="R36" t="s">
        <v>66</v>
      </c>
    </row>
    <row r="37" spans="1:17" ht="24.75" customHeight="1">
      <c r="A37" s="5" t="s">
        <v>136</v>
      </c>
      <c r="B37" s="4"/>
      <c r="C37" s="4"/>
      <c r="D37" s="3"/>
      <c r="E37" s="4"/>
      <c r="F37" s="4"/>
      <c r="G37" s="4"/>
      <c r="H37" s="4"/>
      <c r="I37" s="21"/>
      <c r="J37" s="27" t="s">
        <v>16</v>
      </c>
      <c r="K37" s="21"/>
      <c r="L37" s="26"/>
      <c r="M37" s="42" t="s">
        <v>16</v>
      </c>
      <c r="N37" s="56"/>
      <c r="O37" s="165"/>
      <c r="P37" s="67"/>
      <c r="Q37" s="157"/>
    </row>
    <row r="38" spans="1:17" ht="24" customHeight="1">
      <c r="A38" s="222" t="s">
        <v>135</v>
      </c>
      <c r="B38" s="223"/>
      <c r="C38" s="224"/>
      <c r="D38" s="3"/>
      <c r="E38" s="4"/>
      <c r="F38" s="4"/>
      <c r="G38" s="4"/>
      <c r="H38" s="4"/>
      <c r="I38" s="21"/>
      <c r="J38" s="27" t="s">
        <v>16</v>
      </c>
      <c r="K38" s="21"/>
      <c r="L38" s="26"/>
      <c r="M38" s="42" t="s">
        <v>16</v>
      </c>
      <c r="N38" s="54"/>
      <c r="O38" s="49"/>
      <c r="P38" s="67"/>
      <c r="Q38" s="157"/>
    </row>
    <row r="39" spans="1:17" ht="7.5" customHeight="1">
      <c r="A39" s="215"/>
      <c r="B39" s="217"/>
      <c r="C39" s="216"/>
      <c r="D39" s="3"/>
      <c r="E39" s="4"/>
      <c r="F39" s="4"/>
      <c r="G39" s="4"/>
      <c r="H39" s="4"/>
      <c r="I39" s="21"/>
      <c r="J39" s="27"/>
      <c r="K39" s="21"/>
      <c r="L39" s="26"/>
      <c r="M39" s="42"/>
      <c r="N39" s="54"/>
      <c r="O39" s="49"/>
      <c r="P39" s="67"/>
      <c r="Q39" s="157"/>
    </row>
    <row r="40" spans="1:17" ht="12.75">
      <c r="A40" s="3" t="s">
        <v>17</v>
      </c>
      <c r="B40" s="4"/>
      <c r="C40" s="4"/>
      <c r="D40" s="3">
        <v>10</v>
      </c>
      <c r="E40" s="4">
        <v>10</v>
      </c>
      <c r="F40" s="4">
        <v>11.25</v>
      </c>
      <c r="G40" s="4"/>
      <c r="H40" s="4">
        <v>0</v>
      </c>
      <c r="I40" s="21">
        <v>10</v>
      </c>
      <c r="J40" s="27">
        <f>+I40*1.047</f>
        <v>10.469999999999999</v>
      </c>
      <c r="K40" s="40">
        <f>+I40</f>
        <v>10</v>
      </c>
      <c r="L40" s="27">
        <f>+J40</f>
        <v>10.469999999999999</v>
      </c>
      <c r="M40" s="42">
        <f>+K40*1.031</f>
        <v>10.309999999999999</v>
      </c>
      <c r="N40" s="54">
        <v>10</v>
      </c>
      <c r="O40" s="165">
        <f>N40+(N40*2.2%)</f>
        <v>10.22</v>
      </c>
      <c r="P40" s="169">
        <f>O40+(O40*$P$28)</f>
        <v>10.38352</v>
      </c>
      <c r="Q40" s="157">
        <f t="shared" si="2"/>
        <v>10.570423360000001</v>
      </c>
    </row>
    <row r="41" spans="1:17" ht="12.75">
      <c r="A41" s="11" t="s">
        <v>18</v>
      </c>
      <c r="B41" s="10"/>
      <c r="C41" s="10"/>
      <c r="D41" s="11">
        <v>79</v>
      </c>
      <c r="E41" s="10">
        <v>96</v>
      </c>
      <c r="F41" s="10">
        <v>79.5</v>
      </c>
      <c r="G41" s="10">
        <v>83</v>
      </c>
      <c r="H41" s="10">
        <v>108</v>
      </c>
      <c r="I41" s="22">
        <v>90</v>
      </c>
      <c r="J41" s="28">
        <f>+J23</f>
        <v>94.23</v>
      </c>
      <c r="K41" s="39">
        <f>+K23</f>
        <v>99</v>
      </c>
      <c r="L41" s="28">
        <f>+L23</f>
        <v>104</v>
      </c>
      <c r="M41" s="42">
        <f>+K41*1.031</f>
        <v>102.06899999999999</v>
      </c>
      <c r="N41" s="55">
        <v>104</v>
      </c>
      <c r="O41" s="165">
        <f>N41+(N41*2.9%)</f>
        <v>107.016</v>
      </c>
      <c r="P41" s="169">
        <f>O41+(O41*$P$28)</f>
        <v>108.728256</v>
      </c>
      <c r="Q41" s="157">
        <f t="shared" si="2"/>
        <v>110.685364608</v>
      </c>
    </row>
    <row r="42" spans="1:17" ht="12.75">
      <c r="A42" s="3"/>
      <c r="B42" s="4"/>
      <c r="C42" s="4"/>
      <c r="D42" s="3"/>
      <c r="E42" s="4"/>
      <c r="F42" s="4"/>
      <c r="G42" s="4"/>
      <c r="H42" s="4"/>
      <c r="I42" s="21"/>
      <c r="J42" s="27" t="s">
        <v>16</v>
      </c>
      <c r="K42" s="21"/>
      <c r="L42" s="25"/>
      <c r="M42" s="43" t="s">
        <v>16</v>
      </c>
      <c r="N42" s="56"/>
      <c r="O42" s="165"/>
      <c r="P42" s="67"/>
      <c r="Q42" s="157"/>
    </row>
    <row r="43" spans="1:17" ht="12.75">
      <c r="A43" s="5" t="s">
        <v>15</v>
      </c>
      <c r="B43" s="4"/>
      <c r="C43" s="4"/>
      <c r="D43" s="3"/>
      <c r="E43" s="4"/>
      <c r="F43" s="4"/>
      <c r="G43" s="4"/>
      <c r="H43" s="4"/>
      <c r="I43" s="21"/>
      <c r="J43" s="27" t="s">
        <v>16</v>
      </c>
      <c r="K43" s="21"/>
      <c r="L43" s="25"/>
      <c r="M43" s="42" t="s">
        <v>16</v>
      </c>
      <c r="N43" s="54"/>
      <c r="O43" s="49"/>
      <c r="P43" s="67"/>
      <c r="Q43" s="157"/>
    </row>
    <row r="44" spans="1:17" ht="12.75">
      <c r="A44" s="8" t="s">
        <v>27</v>
      </c>
      <c r="B44" s="4"/>
      <c r="C44" s="4"/>
      <c r="D44" s="3"/>
      <c r="E44" s="7"/>
      <c r="F44" s="4"/>
      <c r="G44" s="4"/>
      <c r="H44" s="4"/>
      <c r="I44" s="21"/>
      <c r="J44" s="27" t="s">
        <v>16</v>
      </c>
      <c r="K44" s="21"/>
      <c r="L44" s="25"/>
      <c r="M44" s="42" t="s">
        <v>16</v>
      </c>
      <c r="N44" s="54"/>
      <c r="O44" s="49"/>
      <c r="P44" s="67"/>
      <c r="Q44" s="157"/>
    </row>
    <row r="45" spans="1:17" ht="12.75">
      <c r="A45" s="3" t="s">
        <v>19</v>
      </c>
      <c r="B45" s="4"/>
      <c r="C45" s="4"/>
      <c r="D45" s="3">
        <v>5</v>
      </c>
      <c r="E45" s="4"/>
      <c r="F45" s="4">
        <v>3.75</v>
      </c>
      <c r="G45" s="4">
        <v>11</v>
      </c>
      <c r="H45" s="4"/>
      <c r="I45" s="21">
        <v>5</v>
      </c>
      <c r="J45" s="27">
        <f>+I45*1.047</f>
        <v>5.234999999999999</v>
      </c>
      <c r="K45" s="37">
        <v>5</v>
      </c>
      <c r="L45" s="32">
        <v>6</v>
      </c>
      <c r="M45" s="42">
        <f>+K45*1.031</f>
        <v>5.154999999999999</v>
      </c>
      <c r="N45" s="54">
        <v>6</v>
      </c>
      <c r="O45" s="165">
        <f>N45+(N45*2.9%)</f>
        <v>6.174</v>
      </c>
      <c r="P45" s="169">
        <f>O45+(O45*$P$28)</f>
        <v>6.272784000000001</v>
      </c>
      <c r="Q45" s="157">
        <f t="shared" si="2"/>
        <v>6.385694112</v>
      </c>
    </row>
    <row r="46" spans="1:17" ht="12.75">
      <c r="A46" s="3" t="s">
        <v>2</v>
      </c>
      <c r="B46" s="4"/>
      <c r="C46" s="4"/>
      <c r="D46" s="3">
        <v>38</v>
      </c>
      <c r="E46" s="4"/>
      <c r="F46" s="4">
        <v>32.5</v>
      </c>
      <c r="G46" s="4">
        <v>36</v>
      </c>
      <c r="H46" s="4"/>
      <c r="I46" s="21">
        <v>41</v>
      </c>
      <c r="J46" s="27">
        <f>+I46*1.047</f>
        <v>42.927</v>
      </c>
      <c r="K46" s="37">
        <v>47</v>
      </c>
      <c r="L46" s="32">
        <v>47</v>
      </c>
      <c r="M46" s="42">
        <f>+K46*1.031</f>
        <v>48.456999999999994</v>
      </c>
      <c r="N46" s="54">
        <v>46</v>
      </c>
      <c r="O46" s="165">
        <f>N46+(N46*2.9%)</f>
        <v>47.334</v>
      </c>
      <c r="P46" s="169">
        <f>O46+(O46*$P$28)</f>
        <v>48.09134400000001</v>
      </c>
      <c r="Q46" s="157">
        <f t="shared" si="2"/>
        <v>48.956988192000004</v>
      </c>
    </row>
    <row r="47" spans="1:17" ht="12.75">
      <c r="A47" s="3" t="s">
        <v>3</v>
      </c>
      <c r="B47" s="4"/>
      <c r="C47" s="4"/>
      <c r="D47" s="3">
        <v>8</v>
      </c>
      <c r="E47" s="4"/>
      <c r="F47" s="4">
        <v>6</v>
      </c>
      <c r="G47" s="4">
        <v>12</v>
      </c>
      <c r="H47" s="4"/>
      <c r="I47" s="21">
        <v>8</v>
      </c>
      <c r="J47" s="27">
        <f>+I47*1.047</f>
        <v>8.376</v>
      </c>
      <c r="K47" s="37">
        <v>9</v>
      </c>
      <c r="L47" s="32">
        <v>9</v>
      </c>
      <c r="M47" s="42">
        <f>+K47*1.031</f>
        <v>9.279</v>
      </c>
      <c r="N47" s="54">
        <v>10</v>
      </c>
      <c r="O47" s="165">
        <f>N47+(N47*2.9%)</f>
        <v>10.29</v>
      </c>
      <c r="P47" s="169">
        <f>O47+(O47*$P$28)</f>
        <v>10.45464</v>
      </c>
      <c r="Q47" s="157">
        <f t="shared" si="2"/>
        <v>10.64282352</v>
      </c>
    </row>
    <row r="48" spans="1:17" ht="12.75">
      <c r="A48" s="3" t="s">
        <v>20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54">
        <v>6</v>
      </c>
      <c r="O48" s="165">
        <f>N48+(N48*2.9%)</f>
        <v>6.174</v>
      </c>
      <c r="P48" s="163">
        <f>O48+(O48*$P$28)</f>
        <v>6.272784000000001</v>
      </c>
      <c r="Q48" s="157">
        <f t="shared" si="2"/>
        <v>6.385694112</v>
      </c>
    </row>
    <row r="49" spans="1:17" ht="12.75">
      <c r="A49" s="3"/>
      <c r="B49" s="4"/>
      <c r="C49" s="4"/>
      <c r="D49" s="3"/>
      <c r="E49" s="4"/>
      <c r="F49" s="4"/>
      <c r="G49" s="4"/>
      <c r="H49" s="4"/>
      <c r="I49" s="21"/>
      <c r="J49" s="27" t="s">
        <v>16</v>
      </c>
      <c r="K49" s="21"/>
      <c r="L49" s="25"/>
      <c r="M49" s="42" t="s">
        <v>16</v>
      </c>
      <c r="N49" s="54"/>
      <c r="O49" s="49"/>
      <c r="P49" s="164"/>
      <c r="Q49" s="46"/>
    </row>
    <row r="50" spans="1:17" ht="12.75">
      <c r="A50" s="11" t="s">
        <v>21</v>
      </c>
      <c r="B50" s="10"/>
      <c r="C50" s="10"/>
      <c r="D50" s="11">
        <f>SUM(D45:D48)</f>
        <v>56</v>
      </c>
      <c r="E50" s="64">
        <v>68</v>
      </c>
      <c r="F50" s="10">
        <f>SUM(F45:F48)</f>
        <v>46</v>
      </c>
      <c r="G50" s="10">
        <f>SUM(G45:G48)</f>
        <v>70</v>
      </c>
      <c r="H50" s="10">
        <v>82</v>
      </c>
      <c r="I50" s="22">
        <f>SUM(I45:I48)</f>
        <v>59</v>
      </c>
      <c r="J50" s="65">
        <v>61</v>
      </c>
      <c r="K50" s="22">
        <f>SUM(K45:K48)</f>
        <v>66</v>
      </c>
      <c r="L50" s="65">
        <f>SUM(L45:L48)</f>
        <v>68</v>
      </c>
      <c r="M50" s="44">
        <f>+K50*1.031</f>
        <v>68.04599999999999</v>
      </c>
      <c r="N50" s="55">
        <v>68</v>
      </c>
      <c r="O50" s="165">
        <f>N50+(N50*2.2%)</f>
        <v>69.496</v>
      </c>
      <c r="P50" s="67">
        <v>70</v>
      </c>
      <c r="Q50" s="50">
        <f>SUM(Q45:Q48)</f>
        <v>72.371199936</v>
      </c>
    </row>
    <row r="51" spans="1:17" ht="12.75">
      <c r="A51" s="3"/>
      <c r="B51" s="4"/>
      <c r="C51" s="4"/>
      <c r="D51" s="3"/>
      <c r="E51" s="4"/>
      <c r="F51" s="4"/>
      <c r="G51" s="4"/>
      <c r="H51" s="4"/>
      <c r="I51" s="21"/>
      <c r="J51" s="27" t="s">
        <v>16</v>
      </c>
      <c r="K51" s="21"/>
      <c r="L51" s="25"/>
      <c r="M51" s="42" t="s">
        <v>16</v>
      </c>
      <c r="N51" s="54"/>
      <c r="O51" s="165"/>
      <c r="P51" s="170"/>
      <c r="Q51" s="46"/>
    </row>
    <row r="52" spans="1:17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16</v>
      </c>
      <c r="K52" s="21"/>
      <c r="L52" s="25"/>
      <c r="M52" s="42" t="s">
        <v>16</v>
      </c>
      <c r="N52" s="54"/>
      <c r="O52" s="49" t="s">
        <v>49</v>
      </c>
      <c r="P52" s="161">
        <v>0.016</v>
      </c>
      <c r="Q52" s="58">
        <v>0.018</v>
      </c>
    </row>
    <row r="53" spans="1:18" ht="12.75">
      <c r="A53" s="207" t="s">
        <v>28</v>
      </c>
      <c r="B53" s="208"/>
      <c r="C53" s="208"/>
      <c r="D53" s="209"/>
      <c r="E53" s="208"/>
      <c r="F53" s="208"/>
      <c r="G53" s="208"/>
      <c r="H53" s="208">
        <v>42</v>
      </c>
      <c r="I53" s="210">
        <v>42</v>
      </c>
      <c r="J53" s="211">
        <f>+I53*1.047</f>
        <v>43.974</v>
      </c>
      <c r="K53" s="212">
        <v>44</v>
      </c>
      <c r="L53" s="211">
        <f>+J53</f>
        <v>43.974</v>
      </c>
      <c r="M53" s="213">
        <f>+K53*1.031</f>
        <v>45.364</v>
      </c>
      <c r="N53" s="214">
        <v>46</v>
      </c>
      <c r="O53" s="171">
        <f>N53+(N53*2.9%)</f>
        <v>47.334</v>
      </c>
      <c r="P53" s="171">
        <f>O53+(O53*$P$52)</f>
        <v>48.09134400000001</v>
      </c>
      <c r="Q53" s="50">
        <f>P53+(P53*1.8%)</f>
        <v>48.956988192000004</v>
      </c>
      <c r="R53" t="s">
        <v>76</v>
      </c>
    </row>
    <row r="54" ht="11.25" customHeight="1"/>
    <row r="55" spans="1:2" ht="12.75">
      <c r="A55" t="s">
        <v>54</v>
      </c>
      <c r="B55" s="35" t="s">
        <v>133</v>
      </c>
    </row>
    <row r="56" ht="12.75">
      <c r="B56" t="s">
        <v>134</v>
      </c>
    </row>
    <row r="57" spans="1:2" ht="12.75">
      <c r="A57" t="s">
        <v>55</v>
      </c>
      <c r="B57" t="s">
        <v>79</v>
      </c>
    </row>
    <row r="58" ht="12.75">
      <c r="B58" t="s">
        <v>80</v>
      </c>
    </row>
    <row r="59" ht="12.75">
      <c r="B59" t="s">
        <v>81</v>
      </c>
    </row>
    <row r="60" ht="12.75">
      <c r="B60" t="s">
        <v>82</v>
      </c>
    </row>
    <row r="62" spans="1:2" ht="12.75">
      <c r="A62" t="s">
        <v>69</v>
      </c>
      <c r="B62" s="35" t="s">
        <v>123</v>
      </c>
    </row>
    <row r="63" ht="12.75">
      <c r="B63" t="s">
        <v>51</v>
      </c>
    </row>
    <row r="64" ht="12.75">
      <c r="B64" t="s">
        <v>52</v>
      </c>
    </row>
    <row r="65" ht="12.75">
      <c r="B65" t="s">
        <v>53</v>
      </c>
    </row>
    <row r="66" ht="12.75">
      <c r="B66" t="s">
        <v>84</v>
      </c>
    </row>
    <row r="68" spans="1:2" ht="12.75">
      <c r="A68" t="s">
        <v>67</v>
      </c>
      <c r="B68" s="35" t="s">
        <v>124</v>
      </c>
    </row>
    <row r="70" spans="1:2" ht="12.75">
      <c r="A70" t="s">
        <v>77</v>
      </c>
      <c r="B70" t="s">
        <v>132</v>
      </c>
    </row>
    <row r="71" ht="12.75">
      <c r="B71" t="s">
        <v>72</v>
      </c>
    </row>
    <row r="72" ht="12.75">
      <c r="B72" t="s">
        <v>85</v>
      </c>
    </row>
    <row r="73" spans="2:15" ht="12.75">
      <c r="B73" t="s">
        <v>56</v>
      </c>
      <c r="C73" t="s">
        <v>70</v>
      </c>
      <c r="N73" t="s">
        <v>57</v>
      </c>
      <c r="O73" t="s">
        <v>58</v>
      </c>
    </row>
    <row r="74" spans="2:15" ht="12.75">
      <c r="B74" t="s">
        <v>59</v>
      </c>
      <c r="C74" t="s">
        <v>60</v>
      </c>
      <c r="N74" t="s">
        <v>61</v>
      </c>
      <c r="O74" t="s">
        <v>62</v>
      </c>
    </row>
    <row r="75" spans="2:15" ht="12.75">
      <c r="B75" t="s">
        <v>63</v>
      </c>
      <c r="C75" t="s">
        <v>64</v>
      </c>
      <c r="N75" t="s">
        <v>65</v>
      </c>
      <c r="O75" t="s">
        <v>62</v>
      </c>
    </row>
    <row r="76" ht="12.75">
      <c r="B76" t="s">
        <v>71</v>
      </c>
    </row>
    <row r="77" ht="12.75">
      <c r="B77" s="35" t="s">
        <v>125</v>
      </c>
    </row>
    <row r="80" spans="1:2" ht="12.75">
      <c r="A80" t="s">
        <v>78</v>
      </c>
      <c r="B80" s="35" t="s">
        <v>121</v>
      </c>
    </row>
    <row r="82" ht="12.75">
      <c r="A82" s="35" t="s">
        <v>122</v>
      </c>
    </row>
  </sheetData>
  <sheetProtection/>
  <mergeCells count="3">
    <mergeCell ref="P4:P5"/>
    <mergeCell ref="A1:Q1"/>
    <mergeCell ref="A38:C38"/>
  </mergeCells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30.421875" style="0" customWidth="1"/>
    <col min="4" max="10" width="0" style="0" hidden="1" customWidth="1"/>
  </cols>
  <sheetData>
    <row r="1" spans="1:21" ht="16.5" thickBot="1">
      <c r="A1" s="225" t="s">
        <v>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16.5" thickBot="1">
      <c r="A2" s="68"/>
      <c r="B2" s="69"/>
      <c r="C2" s="70"/>
      <c r="D2" s="226" t="s">
        <v>87</v>
      </c>
      <c r="E2" s="226"/>
      <c r="F2" s="226"/>
      <c r="G2" s="227"/>
      <c r="H2" s="228" t="s">
        <v>88</v>
      </c>
      <c r="I2" s="229"/>
      <c r="J2" s="229"/>
      <c r="K2" s="228" t="s">
        <v>89</v>
      </c>
      <c r="L2" s="229"/>
      <c r="M2" s="230"/>
      <c r="N2" s="228" t="s">
        <v>120</v>
      </c>
      <c r="O2" s="229"/>
      <c r="P2" s="230"/>
      <c r="Q2" s="247" t="s">
        <v>126</v>
      </c>
      <c r="R2" s="248"/>
      <c r="S2" s="232"/>
      <c r="T2" s="231" t="s">
        <v>90</v>
      </c>
      <c r="U2" s="232"/>
    </row>
    <row r="3" spans="1:21" ht="13.5" thickBot="1">
      <c r="A3" s="71"/>
      <c r="B3" s="72"/>
      <c r="C3" s="73"/>
      <c r="D3" s="74" t="s">
        <v>91</v>
      </c>
      <c r="E3" s="74" t="s">
        <v>92</v>
      </c>
      <c r="F3" s="74" t="s">
        <v>93</v>
      </c>
      <c r="G3" s="75" t="s">
        <v>94</v>
      </c>
      <c r="H3" s="76" t="s">
        <v>92</v>
      </c>
      <c r="I3" s="77" t="s">
        <v>93</v>
      </c>
      <c r="J3" s="77" t="s">
        <v>94</v>
      </c>
      <c r="K3" s="76" t="s">
        <v>92</v>
      </c>
      <c r="L3" s="77" t="s">
        <v>93</v>
      </c>
      <c r="M3" s="77" t="s">
        <v>94</v>
      </c>
      <c r="N3" s="76" t="s">
        <v>92</v>
      </c>
      <c r="O3" s="77" t="s">
        <v>93</v>
      </c>
      <c r="P3" s="177" t="s">
        <v>94</v>
      </c>
      <c r="Q3" s="182" t="s">
        <v>92</v>
      </c>
      <c r="R3" s="183" t="s">
        <v>128</v>
      </c>
      <c r="S3" s="184" t="s">
        <v>94</v>
      </c>
      <c r="T3" s="78"/>
      <c r="U3" s="79"/>
    </row>
    <row r="4" spans="1:21" ht="13.5" thickBot="1">
      <c r="A4" s="80" t="s">
        <v>95</v>
      </c>
      <c r="B4" s="81"/>
      <c r="C4" s="82"/>
      <c r="D4" s="83"/>
      <c r="E4" s="83"/>
      <c r="F4" s="83"/>
      <c r="G4" s="83"/>
      <c r="H4" s="84"/>
      <c r="I4" s="85"/>
      <c r="J4" s="85"/>
      <c r="K4" s="84"/>
      <c r="L4" s="85"/>
      <c r="M4" s="85"/>
      <c r="N4" s="84"/>
      <c r="O4" s="85"/>
      <c r="P4" s="178"/>
      <c r="Q4" s="173"/>
      <c r="R4" s="173"/>
      <c r="S4" s="173"/>
      <c r="T4" s="78"/>
      <c r="U4" s="79"/>
    </row>
    <row r="5" spans="1:21" ht="13.5" thickBot="1">
      <c r="A5" s="80" t="s">
        <v>96</v>
      </c>
      <c r="B5" s="81"/>
      <c r="C5" s="82"/>
      <c r="D5" s="83"/>
      <c r="E5" s="83"/>
      <c r="F5" s="83"/>
      <c r="G5" s="83"/>
      <c r="H5" s="86" t="s">
        <v>97</v>
      </c>
      <c r="I5" s="87"/>
      <c r="J5" s="88">
        <v>0.019</v>
      </c>
      <c r="K5" s="86" t="s">
        <v>97</v>
      </c>
      <c r="L5" s="87"/>
      <c r="M5" s="88">
        <v>0.029</v>
      </c>
      <c r="N5" s="86" t="s">
        <v>97</v>
      </c>
      <c r="O5" s="87"/>
      <c r="P5" s="179">
        <v>0.016</v>
      </c>
      <c r="Q5" s="185" t="s">
        <v>127</v>
      </c>
      <c r="R5" s="186"/>
      <c r="S5" s="187">
        <v>0.018</v>
      </c>
      <c r="T5" s="78" t="s">
        <v>45</v>
      </c>
      <c r="U5" s="79"/>
    </row>
    <row r="6" spans="1:21" ht="12.75">
      <c r="A6" s="89" t="s">
        <v>98</v>
      </c>
      <c r="B6" s="90"/>
      <c r="C6" s="91"/>
      <c r="D6" s="92"/>
      <c r="E6" s="93"/>
      <c r="F6" s="94"/>
      <c r="G6" s="95"/>
      <c r="H6" s="96"/>
      <c r="I6" s="97"/>
      <c r="J6" s="97"/>
      <c r="K6" s="96"/>
      <c r="L6" s="97"/>
      <c r="M6" s="97"/>
      <c r="N6" s="96"/>
      <c r="O6" s="97"/>
      <c r="P6" s="180"/>
      <c r="Q6" s="188"/>
      <c r="R6" s="188"/>
      <c r="S6" s="172"/>
      <c r="T6" s="78"/>
      <c r="U6" s="79"/>
    </row>
    <row r="7" spans="1:21" ht="12.75" customHeight="1">
      <c r="A7" s="98" t="s">
        <v>99</v>
      </c>
      <c r="B7" s="81"/>
      <c r="C7" s="82"/>
      <c r="D7" s="99" t="s">
        <v>16</v>
      </c>
      <c r="E7" s="100">
        <v>65</v>
      </c>
      <c r="F7" s="101">
        <v>1943</v>
      </c>
      <c r="G7" s="102" t="s">
        <v>16</v>
      </c>
      <c r="H7" s="103">
        <f>E7+(E7*$J$5)</f>
        <v>66.235</v>
      </c>
      <c r="I7" s="104">
        <f>F7+(F7*$J$5)</f>
        <v>1979.917</v>
      </c>
      <c r="J7" s="105" t="s">
        <v>16</v>
      </c>
      <c r="K7" s="103">
        <f>H7+(H7*$M$5)</f>
        <v>68.155815</v>
      </c>
      <c r="L7" s="104">
        <f>K7*366/12</f>
        <v>2078.7523575</v>
      </c>
      <c r="M7" s="105" t="s">
        <v>16</v>
      </c>
      <c r="N7" s="103">
        <v>76</v>
      </c>
      <c r="O7" s="104">
        <f>N7*365/12</f>
        <v>2311.6666666666665</v>
      </c>
      <c r="P7" s="181" t="s">
        <v>16</v>
      </c>
      <c r="Q7" s="189">
        <f>N7+(N7*1.8%)</f>
        <v>77.368</v>
      </c>
      <c r="R7" s="189">
        <f>Q7*365/12</f>
        <v>2353.2766666666666</v>
      </c>
      <c r="S7" s="174"/>
      <c r="T7" s="249" t="s">
        <v>129</v>
      </c>
      <c r="U7" s="250"/>
    </row>
    <row r="8" spans="1:21" ht="12.75">
      <c r="A8" s="98"/>
      <c r="B8" s="81"/>
      <c r="C8" s="82"/>
      <c r="D8" s="99" t="s">
        <v>16</v>
      </c>
      <c r="E8" s="100" t="s">
        <v>16</v>
      </c>
      <c r="F8" s="101" t="s">
        <v>16</v>
      </c>
      <c r="G8" s="102" t="s">
        <v>16</v>
      </c>
      <c r="H8" s="103" t="s">
        <v>16</v>
      </c>
      <c r="I8" s="107" t="s">
        <v>16</v>
      </c>
      <c r="J8" s="105" t="s">
        <v>16</v>
      </c>
      <c r="K8" s="103" t="s">
        <v>16</v>
      </c>
      <c r="L8" s="107" t="s">
        <v>16</v>
      </c>
      <c r="M8" s="105" t="s">
        <v>16</v>
      </c>
      <c r="N8" s="103" t="s">
        <v>16</v>
      </c>
      <c r="O8" s="107" t="s">
        <v>16</v>
      </c>
      <c r="P8" s="181" t="s">
        <v>16</v>
      </c>
      <c r="Q8" s="189"/>
      <c r="R8" s="189"/>
      <c r="S8" s="174"/>
      <c r="T8" s="251"/>
      <c r="U8" s="250"/>
    </row>
    <row r="9" spans="1:21" ht="12.75">
      <c r="A9" s="80" t="s">
        <v>100</v>
      </c>
      <c r="B9" s="81"/>
      <c r="C9" s="82"/>
      <c r="D9" s="99" t="s">
        <v>16</v>
      </c>
      <c r="E9" s="100" t="s">
        <v>16</v>
      </c>
      <c r="F9" s="101" t="s">
        <v>16</v>
      </c>
      <c r="G9" s="102" t="s">
        <v>16</v>
      </c>
      <c r="H9" s="103" t="s">
        <v>16</v>
      </c>
      <c r="I9" s="107" t="s">
        <v>16</v>
      </c>
      <c r="J9" s="105" t="s">
        <v>16</v>
      </c>
      <c r="K9" s="103" t="s">
        <v>16</v>
      </c>
      <c r="L9" s="107" t="s">
        <v>16</v>
      </c>
      <c r="M9" s="105" t="s">
        <v>16</v>
      </c>
      <c r="N9" s="103" t="s">
        <v>16</v>
      </c>
      <c r="O9" s="107" t="s">
        <v>16</v>
      </c>
      <c r="P9" s="181" t="s">
        <v>16</v>
      </c>
      <c r="Q9" s="189"/>
      <c r="R9" s="189"/>
      <c r="S9" s="174"/>
      <c r="T9" s="251"/>
      <c r="U9" s="250"/>
    </row>
    <row r="10" spans="1:21" ht="12.75">
      <c r="A10" s="98" t="s">
        <v>101</v>
      </c>
      <c r="B10" s="81"/>
      <c r="C10" s="82"/>
      <c r="D10" s="99" t="s">
        <v>16</v>
      </c>
      <c r="E10" s="100">
        <v>15</v>
      </c>
      <c r="F10" s="101">
        <v>464</v>
      </c>
      <c r="G10" s="102" t="s">
        <v>16</v>
      </c>
      <c r="H10" s="103">
        <f aca="true" t="shared" si="0" ref="H10:I12">E10+(E10*$J$5)</f>
        <v>15.285</v>
      </c>
      <c r="I10" s="104">
        <f t="shared" si="0"/>
        <v>472.816</v>
      </c>
      <c r="J10" s="105" t="s">
        <v>16</v>
      </c>
      <c r="K10" s="103">
        <v>15</v>
      </c>
      <c r="L10" s="104">
        <f>K10*366/12</f>
        <v>457.5</v>
      </c>
      <c r="M10" s="105" t="s">
        <v>16</v>
      </c>
      <c r="N10" s="103">
        <f>K10+(K10*$P$5)</f>
        <v>15.24</v>
      </c>
      <c r="O10" s="104">
        <f>N10*365/12</f>
        <v>463.55</v>
      </c>
      <c r="P10" s="181" t="s">
        <v>16</v>
      </c>
      <c r="Q10" s="189">
        <f>N10+(N10*1.8%)</f>
        <v>15.51432</v>
      </c>
      <c r="R10" s="189">
        <f>Q10*365/12</f>
        <v>471.8939</v>
      </c>
      <c r="S10" s="174"/>
      <c r="T10" s="251"/>
      <c r="U10" s="250"/>
    </row>
    <row r="11" spans="1:21" ht="12.75">
      <c r="A11" s="98" t="s">
        <v>102</v>
      </c>
      <c r="B11" s="81"/>
      <c r="C11" s="82"/>
      <c r="D11" s="99" t="s">
        <v>16</v>
      </c>
      <c r="E11" s="100">
        <v>30</v>
      </c>
      <c r="F11" s="101">
        <v>897</v>
      </c>
      <c r="G11" s="102" t="s">
        <v>16</v>
      </c>
      <c r="H11" s="103">
        <f t="shared" si="0"/>
        <v>30.57</v>
      </c>
      <c r="I11" s="104">
        <f t="shared" si="0"/>
        <v>914.043</v>
      </c>
      <c r="J11" s="105" t="s">
        <v>16</v>
      </c>
      <c r="K11" s="103">
        <v>32</v>
      </c>
      <c r="L11" s="104">
        <f>K11*366/12</f>
        <v>976</v>
      </c>
      <c r="M11" s="105" t="s">
        <v>16</v>
      </c>
      <c r="N11" s="103">
        <f>K11+(K11*$P$5)</f>
        <v>32.512</v>
      </c>
      <c r="O11" s="104">
        <f>N11*365/12</f>
        <v>988.9066666666668</v>
      </c>
      <c r="P11" s="181" t="s">
        <v>16</v>
      </c>
      <c r="Q11" s="189">
        <f>N11+(N11*1.8%)</f>
        <v>33.097216</v>
      </c>
      <c r="R11" s="189">
        <f>Q11*365/12</f>
        <v>1006.7069866666667</v>
      </c>
      <c r="S11" s="174"/>
      <c r="T11" s="252"/>
      <c r="U11" s="253"/>
    </row>
    <row r="12" spans="1:21" ht="12.75">
      <c r="A12" s="98" t="s">
        <v>103</v>
      </c>
      <c r="B12" s="81" t="s">
        <v>2</v>
      </c>
      <c r="C12" s="82"/>
      <c r="D12" s="99" t="s">
        <v>16</v>
      </c>
      <c r="E12" s="100">
        <v>30</v>
      </c>
      <c r="F12" s="101">
        <v>897</v>
      </c>
      <c r="G12" s="102" t="s">
        <v>16</v>
      </c>
      <c r="H12" s="103">
        <f t="shared" si="0"/>
        <v>30.57</v>
      </c>
      <c r="I12" s="104">
        <f t="shared" si="0"/>
        <v>914.043</v>
      </c>
      <c r="J12" s="105" t="s">
        <v>16</v>
      </c>
      <c r="K12" s="103">
        <v>32</v>
      </c>
      <c r="L12" s="104">
        <f>K12*366/12</f>
        <v>976</v>
      </c>
      <c r="M12" s="105" t="s">
        <v>16</v>
      </c>
      <c r="N12" s="103">
        <f>K12+(K12*$P$5)</f>
        <v>32.512</v>
      </c>
      <c r="O12" s="104">
        <f>N12*365/12</f>
        <v>988.9066666666668</v>
      </c>
      <c r="P12" s="181" t="s">
        <v>16</v>
      </c>
      <c r="Q12" s="189">
        <f>N12+(N12*1.8%)</f>
        <v>33.097216</v>
      </c>
      <c r="R12" s="189">
        <f>Q12*365/12</f>
        <v>1006.7069866666667</v>
      </c>
      <c r="S12" s="174"/>
      <c r="T12" s="78"/>
      <c r="U12" s="79"/>
    </row>
    <row r="13" spans="1:21" ht="12.75">
      <c r="A13" s="98"/>
      <c r="B13" s="81" t="s">
        <v>3</v>
      </c>
      <c r="C13" s="82"/>
      <c r="D13" s="99" t="s">
        <v>16</v>
      </c>
      <c r="E13" s="100" t="s">
        <v>16</v>
      </c>
      <c r="F13" s="101" t="s">
        <v>16</v>
      </c>
      <c r="G13" s="102" t="s">
        <v>16</v>
      </c>
      <c r="H13" s="103" t="s">
        <v>16</v>
      </c>
      <c r="I13" s="107" t="s">
        <v>16</v>
      </c>
      <c r="J13" s="105" t="s">
        <v>16</v>
      </c>
      <c r="K13" s="103" t="s">
        <v>16</v>
      </c>
      <c r="L13" s="107" t="s">
        <v>16</v>
      </c>
      <c r="M13" s="105" t="s">
        <v>16</v>
      </c>
      <c r="N13" s="103" t="s">
        <v>16</v>
      </c>
      <c r="O13" s="107" t="s">
        <v>16</v>
      </c>
      <c r="P13" s="181" t="s">
        <v>16</v>
      </c>
      <c r="Q13" s="189"/>
      <c r="R13" s="189"/>
      <c r="S13" s="174"/>
      <c r="T13" s="108"/>
      <c r="U13" s="79"/>
    </row>
    <row r="14" spans="1:21" ht="12.75">
      <c r="A14" s="98"/>
      <c r="B14" s="81"/>
      <c r="C14" s="82"/>
      <c r="D14" s="99" t="s">
        <v>16</v>
      </c>
      <c r="E14" s="100" t="s">
        <v>16</v>
      </c>
      <c r="F14" s="101" t="s">
        <v>16</v>
      </c>
      <c r="G14" s="102" t="s">
        <v>16</v>
      </c>
      <c r="H14" s="103" t="s">
        <v>16</v>
      </c>
      <c r="I14" s="107" t="s">
        <v>16</v>
      </c>
      <c r="J14" s="105" t="s">
        <v>16</v>
      </c>
      <c r="K14" s="103" t="s">
        <v>16</v>
      </c>
      <c r="L14" s="107" t="s">
        <v>16</v>
      </c>
      <c r="M14" s="105" t="s">
        <v>16</v>
      </c>
      <c r="N14" s="103" t="s">
        <v>16</v>
      </c>
      <c r="O14" s="107" t="s">
        <v>16</v>
      </c>
      <c r="P14" s="181" t="s">
        <v>16</v>
      </c>
      <c r="Q14" s="189"/>
      <c r="R14" s="189"/>
      <c r="S14" s="174"/>
      <c r="T14" s="78"/>
      <c r="U14" s="79"/>
    </row>
    <row r="15" spans="1:21" ht="13.5" thickBot="1">
      <c r="A15" s="109" t="s">
        <v>104</v>
      </c>
      <c r="B15" s="110"/>
      <c r="C15" s="111"/>
      <c r="D15" s="112" t="s">
        <v>16</v>
      </c>
      <c r="E15" s="113">
        <v>75</v>
      </c>
      <c r="F15" s="114">
        <v>2258</v>
      </c>
      <c r="G15" s="115" t="s">
        <v>16</v>
      </c>
      <c r="H15" s="116">
        <v>77</v>
      </c>
      <c r="I15" s="117">
        <f>F15+(F15*$J$5)</f>
        <v>2300.902</v>
      </c>
      <c r="J15" s="118" t="s">
        <v>16</v>
      </c>
      <c r="K15" s="150">
        <f>H15+(H15*$M$5)</f>
        <v>79.233</v>
      </c>
      <c r="L15" s="151">
        <f>SUM(L10:L12)</f>
        <v>2409.5</v>
      </c>
      <c r="M15" s="118" t="s">
        <v>16</v>
      </c>
      <c r="N15" s="116">
        <f>K15+(K15*$P$5)</f>
        <v>80.50072800000001</v>
      </c>
      <c r="O15" s="151">
        <f>N15*365/12</f>
        <v>2448.56381</v>
      </c>
      <c r="P15" s="153" t="s">
        <v>16</v>
      </c>
      <c r="Q15" s="189">
        <v>82</v>
      </c>
      <c r="R15" s="189">
        <v>2480</v>
      </c>
      <c r="S15" s="174"/>
      <c r="T15" s="78"/>
      <c r="U15" s="79"/>
    </row>
    <row r="16" spans="1:21" ht="12.75">
      <c r="A16" s="119" t="s">
        <v>105</v>
      </c>
      <c r="B16" s="81"/>
      <c r="C16" s="81"/>
      <c r="D16" s="99" t="s">
        <v>16</v>
      </c>
      <c r="E16" s="99" t="s">
        <v>16</v>
      </c>
      <c r="F16" s="120" t="s">
        <v>16</v>
      </c>
      <c r="G16" s="99" t="s">
        <v>16</v>
      </c>
      <c r="H16" s="121"/>
      <c r="I16" s="122"/>
      <c r="J16" s="121"/>
      <c r="K16" s="121"/>
      <c r="L16" s="122"/>
      <c r="M16" s="121"/>
      <c r="N16" s="121"/>
      <c r="O16" s="122"/>
      <c r="P16" s="121"/>
      <c r="Q16" s="190"/>
      <c r="R16" s="191"/>
      <c r="S16" s="192"/>
      <c r="T16" s="4"/>
      <c r="U16" s="79"/>
    </row>
    <row r="17" spans="1:21" ht="13.5" thickBot="1">
      <c r="A17" s="237" t="s">
        <v>106</v>
      </c>
      <c r="B17" s="238"/>
      <c r="C17" s="238"/>
      <c r="D17" s="238"/>
      <c r="E17" s="238"/>
      <c r="F17" s="238"/>
      <c r="G17" s="238"/>
      <c r="H17" s="121"/>
      <c r="I17" s="122"/>
      <c r="J17" s="121"/>
      <c r="K17" s="121"/>
      <c r="L17" s="122"/>
      <c r="M17" s="121"/>
      <c r="N17" s="121"/>
      <c r="O17" s="122"/>
      <c r="P17" s="121"/>
      <c r="Q17" s="204"/>
      <c r="R17" s="205"/>
      <c r="S17" s="206"/>
      <c r="T17" s="4"/>
      <c r="U17" s="79"/>
    </row>
    <row r="18" spans="1:21" ht="12.75">
      <c r="A18" s="124"/>
      <c r="B18" s="90"/>
      <c r="C18" s="91"/>
      <c r="D18" s="125" t="s">
        <v>16</v>
      </c>
      <c r="E18" s="126" t="s">
        <v>16</v>
      </c>
      <c r="F18" s="127" t="s">
        <v>16</v>
      </c>
      <c r="G18" s="128" t="s">
        <v>16</v>
      </c>
      <c r="H18" s="129" t="s">
        <v>16</v>
      </c>
      <c r="I18" s="130" t="s">
        <v>16</v>
      </c>
      <c r="J18" s="131" t="s">
        <v>16</v>
      </c>
      <c r="K18" s="129" t="s">
        <v>16</v>
      </c>
      <c r="L18" s="130" t="s">
        <v>16</v>
      </c>
      <c r="M18" s="131" t="s">
        <v>16</v>
      </c>
      <c r="N18" s="129" t="s">
        <v>16</v>
      </c>
      <c r="O18" s="130" t="s">
        <v>16</v>
      </c>
      <c r="P18" s="131" t="s">
        <v>16</v>
      </c>
      <c r="Q18" s="106"/>
      <c r="R18" s="174"/>
      <c r="S18" s="193"/>
      <c r="T18" s="239" t="s">
        <v>107</v>
      </c>
      <c r="U18" s="234"/>
    </row>
    <row r="19" spans="1:21" ht="12.75">
      <c r="A19" s="98" t="s">
        <v>108</v>
      </c>
      <c r="B19" s="81"/>
      <c r="C19" s="82"/>
      <c r="D19" s="133" t="s">
        <v>16</v>
      </c>
      <c r="E19" s="100">
        <v>97</v>
      </c>
      <c r="F19" s="101">
        <v>2907</v>
      </c>
      <c r="G19" s="102" t="s">
        <v>16</v>
      </c>
      <c r="H19" s="103">
        <v>105</v>
      </c>
      <c r="I19" s="107">
        <v>3170</v>
      </c>
      <c r="J19" s="105" t="s">
        <v>16</v>
      </c>
      <c r="K19" s="103">
        <f>H19+(H19*$M$5)</f>
        <v>108.045</v>
      </c>
      <c r="L19" s="104">
        <f>I19+(I19*$M$5)</f>
        <v>3261.93</v>
      </c>
      <c r="M19" s="105" t="s">
        <v>16</v>
      </c>
      <c r="N19" s="103">
        <v>109</v>
      </c>
      <c r="O19" s="104">
        <f>N19*365/12</f>
        <v>3315.4166666666665</v>
      </c>
      <c r="P19" s="105" t="s">
        <v>16</v>
      </c>
      <c r="Q19" s="106">
        <v>111</v>
      </c>
      <c r="R19" s="174">
        <v>3374</v>
      </c>
      <c r="S19" s="193"/>
      <c r="T19" s="240"/>
      <c r="U19" s="236"/>
    </row>
    <row r="20" spans="1:21" ht="12.75">
      <c r="A20" s="98" t="s">
        <v>109</v>
      </c>
      <c r="B20" s="81"/>
      <c r="C20" s="82"/>
      <c r="D20" s="133" t="s">
        <v>16</v>
      </c>
      <c r="E20" s="100">
        <v>53</v>
      </c>
      <c r="F20" s="101">
        <v>1577</v>
      </c>
      <c r="G20" s="102" t="s">
        <v>16</v>
      </c>
      <c r="H20" s="103">
        <v>55</v>
      </c>
      <c r="I20" s="107">
        <v>1665</v>
      </c>
      <c r="J20" s="105" t="s">
        <v>16</v>
      </c>
      <c r="K20" s="103">
        <f>H20+(H20*$M$5)</f>
        <v>56.595</v>
      </c>
      <c r="L20" s="104">
        <f>I20+(I20*$M$5)</f>
        <v>1713.285</v>
      </c>
      <c r="M20" s="105" t="s">
        <v>16</v>
      </c>
      <c r="N20" s="103">
        <f>K20+(K20*$P$5)</f>
        <v>57.50052</v>
      </c>
      <c r="O20" s="104">
        <f>N20*365/12</f>
        <v>1748.97415</v>
      </c>
      <c r="P20" s="105" t="s">
        <v>16</v>
      </c>
      <c r="Q20" s="106">
        <f>N20+(N20*S5)</f>
        <v>58.53552936</v>
      </c>
      <c r="R20" s="174">
        <f>Q20*365/12</f>
        <v>1780.4556847000001</v>
      </c>
      <c r="S20" s="193"/>
      <c r="T20" s="4"/>
      <c r="U20" s="79"/>
    </row>
    <row r="21" spans="1:21" ht="12.75">
      <c r="A21" s="98" t="s">
        <v>110</v>
      </c>
      <c r="B21" s="81"/>
      <c r="C21" s="82"/>
      <c r="D21" s="133" t="s">
        <v>16</v>
      </c>
      <c r="E21" s="100" t="s">
        <v>16</v>
      </c>
      <c r="F21" s="101">
        <v>124</v>
      </c>
      <c r="G21" s="102" t="s">
        <v>16</v>
      </c>
      <c r="H21" s="103" t="s">
        <v>16</v>
      </c>
      <c r="I21" s="104">
        <v>500</v>
      </c>
      <c r="J21" s="105" t="s">
        <v>16</v>
      </c>
      <c r="K21" s="103" t="s">
        <v>16</v>
      </c>
      <c r="L21" s="152">
        <f>I21+(I21*$M$5)</f>
        <v>514.5</v>
      </c>
      <c r="M21" s="104"/>
      <c r="N21" s="103" t="s">
        <v>16</v>
      </c>
      <c r="O21" s="152">
        <f>L21+(L21*$P$5)</f>
        <v>522.732</v>
      </c>
      <c r="P21" s="104"/>
      <c r="Q21" s="194"/>
      <c r="R21" s="175">
        <f>O21+(O21*S5)</f>
        <v>532.141176</v>
      </c>
      <c r="S21" s="195"/>
      <c r="T21" s="241"/>
      <c r="U21" s="242"/>
    </row>
    <row r="22" spans="1:21" ht="12.75">
      <c r="A22" s="98"/>
      <c r="B22" s="81"/>
      <c r="C22" s="82"/>
      <c r="D22" s="133" t="s">
        <v>16</v>
      </c>
      <c r="E22" s="100" t="s">
        <v>16</v>
      </c>
      <c r="F22" s="101" t="s">
        <v>16</v>
      </c>
      <c r="G22" s="102" t="s">
        <v>16</v>
      </c>
      <c r="H22" s="103" t="s">
        <v>16</v>
      </c>
      <c r="I22" s="107" t="s">
        <v>16</v>
      </c>
      <c r="J22" s="105" t="s">
        <v>16</v>
      </c>
      <c r="K22" s="103" t="s">
        <v>16</v>
      </c>
      <c r="L22" s="107" t="s">
        <v>16</v>
      </c>
      <c r="M22" s="105" t="s">
        <v>16</v>
      </c>
      <c r="N22" s="103" t="s">
        <v>16</v>
      </c>
      <c r="O22" s="107" t="s">
        <v>16</v>
      </c>
      <c r="P22" s="105" t="s">
        <v>16</v>
      </c>
      <c r="Q22" s="106"/>
      <c r="R22" s="174"/>
      <c r="S22" s="193"/>
      <c r="T22" s="243"/>
      <c r="U22" s="244"/>
    </row>
    <row r="23" spans="1:21" ht="12.75">
      <c r="A23" s="98" t="s">
        <v>111</v>
      </c>
      <c r="B23" s="81"/>
      <c r="C23" s="82"/>
      <c r="D23" s="133" t="s">
        <v>16</v>
      </c>
      <c r="E23" s="100" t="s">
        <v>16</v>
      </c>
      <c r="F23" s="101" t="s">
        <v>16</v>
      </c>
      <c r="G23" s="102" t="s">
        <v>16</v>
      </c>
      <c r="H23" s="103" t="s">
        <v>16</v>
      </c>
      <c r="I23" s="107" t="s">
        <v>16</v>
      </c>
      <c r="J23" s="105" t="s">
        <v>16</v>
      </c>
      <c r="K23" s="103" t="s">
        <v>16</v>
      </c>
      <c r="L23" s="107" t="s">
        <v>16</v>
      </c>
      <c r="M23" s="105" t="s">
        <v>16</v>
      </c>
      <c r="N23" s="103" t="s">
        <v>16</v>
      </c>
      <c r="O23" s="107" t="s">
        <v>16</v>
      </c>
      <c r="P23" s="105" t="s">
        <v>16</v>
      </c>
      <c r="Q23" s="106"/>
      <c r="R23" s="174"/>
      <c r="S23" s="193"/>
      <c r="T23" s="245"/>
      <c r="U23" s="246"/>
    </row>
    <row r="24" spans="1:21" ht="12.75">
      <c r="A24" s="98" t="s">
        <v>112</v>
      </c>
      <c r="B24" s="81"/>
      <c r="C24" s="82"/>
      <c r="D24" s="133" t="s">
        <v>16</v>
      </c>
      <c r="E24" s="100" t="s">
        <v>16</v>
      </c>
      <c r="F24" s="101">
        <v>78</v>
      </c>
      <c r="G24" s="102" t="s">
        <v>16</v>
      </c>
      <c r="H24" s="103" t="s">
        <v>16</v>
      </c>
      <c r="I24" s="104">
        <f>F24+(F24*$J$5)</f>
        <v>79.482</v>
      </c>
      <c r="J24" s="105" t="s">
        <v>16</v>
      </c>
      <c r="K24" s="103" t="s">
        <v>16</v>
      </c>
      <c r="L24" s="152">
        <f>I24+(I24*$M$5)</f>
        <v>81.786978</v>
      </c>
      <c r="M24" s="105" t="s">
        <v>16</v>
      </c>
      <c r="N24" s="103" t="s">
        <v>16</v>
      </c>
      <c r="O24" s="152">
        <f>L24+(L24*$P$5)</f>
        <v>83.09556964800001</v>
      </c>
      <c r="P24" s="105" t="s">
        <v>16</v>
      </c>
      <c r="Q24" s="106"/>
      <c r="R24" s="174">
        <f>O24+(O24*S5)</f>
        <v>84.59128990166401</v>
      </c>
      <c r="S24" s="193"/>
      <c r="T24" s="4"/>
      <c r="U24" s="79"/>
    </row>
    <row r="25" spans="1:21" ht="12.75">
      <c r="A25" s="98" t="s">
        <v>113</v>
      </c>
      <c r="B25" s="81"/>
      <c r="C25" s="82"/>
      <c r="D25" s="133" t="s">
        <v>16</v>
      </c>
      <c r="E25" s="100" t="s">
        <v>16</v>
      </c>
      <c r="F25" s="101">
        <v>159</v>
      </c>
      <c r="G25" s="102" t="s">
        <v>16</v>
      </c>
      <c r="H25" s="103" t="s">
        <v>16</v>
      </c>
      <c r="I25" s="104">
        <f>F25+(F25*$J$5)</f>
        <v>162.021</v>
      </c>
      <c r="J25" s="105" t="s">
        <v>16</v>
      </c>
      <c r="K25" s="103" t="s">
        <v>16</v>
      </c>
      <c r="L25" s="152">
        <f>I25+(I25*$M$5)</f>
        <v>166.719609</v>
      </c>
      <c r="M25" s="105" t="s">
        <v>16</v>
      </c>
      <c r="N25" s="103" t="s">
        <v>16</v>
      </c>
      <c r="O25" s="152">
        <f>L25+(L25*$P$5)</f>
        <v>169.38712274399998</v>
      </c>
      <c r="P25" s="105" t="s">
        <v>16</v>
      </c>
      <c r="Q25" s="106"/>
      <c r="R25" s="174">
        <f>O25+(O25*S5)</f>
        <v>172.43609095339198</v>
      </c>
      <c r="S25" s="193"/>
      <c r="T25" s="4"/>
      <c r="U25" s="79"/>
    </row>
    <row r="26" spans="1:21" ht="12.75">
      <c r="A26" s="98"/>
      <c r="B26" s="81"/>
      <c r="C26" s="82"/>
      <c r="D26" s="133" t="s">
        <v>16</v>
      </c>
      <c r="E26" s="100" t="s">
        <v>16</v>
      </c>
      <c r="F26" s="101" t="s">
        <v>16</v>
      </c>
      <c r="G26" s="102" t="s">
        <v>16</v>
      </c>
      <c r="H26" s="103" t="s">
        <v>16</v>
      </c>
      <c r="I26" s="107" t="s">
        <v>16</v>
      </c>
      <c r="J26" s="105" t="s">
        <v>16</v>
      </c>
      <c r="K26" s="103" t="s">
        <v>16</v>
      </c>
      <c r="L26" s="107" t="s">
        <v>16</v>
      </c>
      <c r="M26" s="105" t="s">
        <v>16</v>
      </c>
      <c r="N26" s="103" t="s">
        <v>16</v>
      </c>
      <c r="O26" s="107" t="s">
        <v>16</v>
      </c>
      <c r="P26" s="105" t="s">
        <v>16</v>
      </c>
      <c r="Q26" s="106"/>
      <c r="R26" s="174"/>
      <c r="S26" s="193"/>
      <c r="T26" s="4"/>
      <c r="U26" s="79"/>
    </row>
    <row r="27" spans="1:21" ht="12.75">
      <c r="A27" s="98" t="s">
        <v>114</v>
      </c>
      <c r="B27" s="81"/>
      <c r="C27" s="82"/>
      <c r="D27" s="133">
        <v>137</v>
      </c>
      <c r="E27" s="100" t="s">
        <v>16</v>
      </c>
      <c r="F27" s="101" t="s">
        <v>16</v>
      </c>
      <c r="G27" s="102" t="s">
        <v>16</v>
      </c>
      <c r="H27" s="103" t="s">
        <v>16</v>
      </c>
      <c r="I27" s="107" t="s">
        <v>16</v>
      </c>
      <c r="J27" s="105" t="s">
        <v>16</v>
      </c>
      <c r="K27" s="103" t="s">
        <v>16</v>
      </c>
      <c r="L27" s="107" t="s">
        <v>16</v>
      </c>
      <c r="M27" s="105" t="s">
        <v>16</v>
      </c>
      <c r="N27" s="103" t="s">
        <v>16</v>
      </c>
      <c r="O27" s="107" t="s">
        <v>16</v>
      </c>
      <c r="P27" s="105" t="s">
        <v>16</v>
      </c>
      <c r="Q27" s="106"/>
      <c r="R27" s="174"/>
      <c r="S27" s="193"/>
      <c r="T27" s="4"/>
      <c r="U27" s="79"/>
    </row>
    <row r="28" spans="1:21" ht="13.5" thickBot="1">
      <c r="A28" s="134" t="s">
        <v>115</v>
      </c>
      <c r="B28" s="110"/>
      <c r="C28" s="111"/>
      <c r="D28" s="135" t="s">
        <v>16</v>
      </c>
      <c r="E28" s="113" t="s">
        <v>16</v>
      </c>
      <c r="F28" s="114"/>
      <c r="G28" s="115">
        <v>64</v>
      </c>
      <c r="H28" s="116" t="s">
        <v>16</v>
      </c>
      <c r="I28" s="136"/>
      <c r="J28" s="118">
        <f>G28+(G28*$J$5)</f>
        <v>65.216</v>
      </c>
      <c r="K28" s="116" t="s">
        <v>16</v>
      </c>
      <c r="L28" s="136"/>
      <c r="M28" s="153">
        <f>J28+(J28*$M$5)</f>
        <v>67.107264</v>
      </c>
      <c r="N28" s="116" t="s">
        <v>16</v>
      </c>
      <c r="O28" s="136"/>
      <c r="P28" s="118">
        <f>M28+(M28*$P$5)</f>
        <v>68.180980224</v>
      </c>
      <c r="Q28" s="196"/>
      <c r="R28" s="197"/>
      <c r="S28" s="198">
        <f>P28+(P28*$S$5)</f>
        <v>69.40823786803199</v>
      </c>
      <c r="T28" s="4"/>
      <c r="U28" s="79"/>
    </row>
    <row r="29" spans="1:21" ht="12.75">
      <c r="A29" s="138" t="s">
        <v>116</v>
      </c>
      <c r="B29" s="81"/>
      <c r="C29" s="81"/>
      <c r="D29" s="99" t="s">
        <v>16</v>
      </c>
      <c r="E29" s="99" t="s">
        <v>16</v>
      </c>
      <c r="F29" s="120" t="s">
        <v>16</v>
      </c>
      <c r="G29" s="99" t="s">
        <v>16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3"/>
      <c r="R29" s="123"/>
      <c r="S29" s="123"/>
      <c r="T29" s="78"/>
      <c r="U29" s="79"/>
    </row>
    <row r="30" spans="1:21" ht="13.5" thickBot="1">
      <c r="A30" s="238" t="s">
        <v>117</v>
      </c>
      <c r="B30" s="238"/>
      <c r="C30" s="238"/>
      <c r="D30" s="238"/>
      <c r="E30" s="238"/>
      <c r="F30" s="238"/>
      <c r="G30" s="238"/>
      <c r="H30" s="121"/>
      <c r="I30" s="121"/>
      <c r="J30" s="121"/>
      <c r="K30" s="121"/>
      <c r="L30" s="121"/>
      <c r="M30" s="121"/>
      <c r="N30" s="121"/>
      <c r="O30" s="121"/>
      <c r="P30" s="121"/>
      <c r="Q30" s="123"/>
      <c r="R30" s="123"/>
      <c r="S30" s="123"/>
      <c r="T30" s="78"/>
      <c r="U30" s="79"/>
    </row>
    <row r="31" spans="1:21" ht="12.75">
      <c r="A31" s="124"/>
      <c r="B31" s="90"/>
      <c r="C31" s="139"/>
      <c r="D31" s="125" t="s">
        <v>16</v>
      </c>
      <c r="E31" s="126" t="s">
        <v>16</v>
      </c>
      <c r="F31" s="127" t="s">
        <v>16</v>
      </c>
      <c r="G31" s="128" t="s">
        <v>16</v>
      </c>
      <c r="H31" s="131" t="s">
        <v>16</v>
      </c>
      <c r="I31" s="140" t="s">
        <v>16</v>
      </c>
      <c r="J31" s="131" t="s">
        <v>16</v>
      </c>
      <c r="K31" s="131" t="s">
        <v>16</v>
      </c>
      <c r="L31" s="140" t="s">
        <v>16</v>
      </c>
      <c r="M31" s="131" t="s">
        <v>16</v>
      </c>
      <c r="N31" s="131" t="s">
        <v>16</v>
      </c>
      <c r="O31" s="140" t="s">
        <v>16</v>
      </c>
      <c r="P31" s="131" t="s">
        <v>16</v>
      </c>
      <c r="Q31" s="132"/>
      <c r="R31" s="199"/>
      <c r="S31" s="200"/>
      <c r="T31" s="233" t="s">
        <v>107</v>
      </c>
      <c r="U31" s="234"/>
    </row>
    <row r="32" spans="1:21" ht="12.75">
      <c r="A32" s="98" t="s">
        <v>108</v>
      </c>
      <c r="B32" s="81"/>
      <c r="C32" s="141"/>
      <c r="D32" s="133" t="s">
        <v>16</v>
      </c>
      <c r="E32" s="100">
        <v>102</v>
      </c>
      <c r="F32" s="101">
        <v>3062</v>
      </c>
      <c r="G32" s="102" t="s">
        <v>16</v>
      </c>
      <c r="H32" s="105">
        <v>105</v>
      </c>
      <c r="I32" s="142">
        <v>3170</v>
      </c>
      <c r="J32" s="105" t="s">
        <v>16</v>
      </c>
      <c r="K32" s="103">
        <f>H32+(H32*$M$5)</f>
        <v>108.045</v>
      </c>
      <c r="L32" s="104">
        <f>I32+(I32*$M$5)</f>
        <v>3261.93</v>
      </c>
      <c r="M32" s="105" t="s">
        <v>16</v>
      </c>
      <c r="N32" s="103">
        <v>109</v>
      </c>
      <c r="O32" s="104">
        <f>N32*365/12</f>
        <v>3315.4166666666665</v>
      </c>
      <c r="P32" s="105" t="s">
        <v>16</v>
      </c>
      <c r="Q32" s="106">
        <v>111</v>
      </c>
      <c r="R32" s="174">
        <v>3367</v>
      </c>
      <c r="S32" s="193"/>
      <c r="T32" s="235"/>
      <c r="U32" s="236"/>
    </row>
    <row r="33" spans="1:21" ht="12.75">
      <c r="A33" s="98" t="s">
        <v>109</v>
      </c>
      <c r="B33" s="81"/>
      <c r="C33" s="141"/>
      <c r="D33" s="133" t="s">
        <v>16</v>
      </c>
      <c r="E33" s="100">
        <v>54</v>
      </c>
      <c r="F33" s="101">
        <v>1608</v>
      </c>
      <c r="G33" s="102" t="s">
        <v>16</v>
      </c>
      <c r="H33" s="105">
        <v>55</v>
      </c>
      <c r="I33" s="142">
        <v>1665</v>
      </c>
      <c r="J33" s="105" t="s">
        <v>16</v>
      </c>
      <c r="K33" s="103">
        <f>H33+(H33*$M$5)</f>
        <v>56.595</v>
      </c>
      <c r="L33" s="104">
        <f>I33+(I33*$M$5)</f>
        <v>1713.285</v>
      </c>
      <c r="M33" s="105" t="s">
        <v>16</v>
      </c>
      <c r="N33" s="103">
        <f>K33+(K33*$P$5)</f>
        <v>57.50052</v>
      </c>
      <c r="O33" s="104">
        <f>N33*365/12</f>
        <v>1748.97415</v>
      </c>
      <c r="P33" s="105" t="s">
        <v>16</v>
      </c>
      <c r="Q33" s="106">
        <f>Q20</f>
        <v>58.53552936</v>
      </c>
      <c r="R33" s="174">
        <f>Q33*365/12</f>
        <v>1780.4556847000001</v>
      </c>
      <c r="S33" s="193"/>
      <c r="T33" s="78"/>
      <c r="U33" s="79"/>
    </row>
    <row r="34" spans="1:21" ht="13.5" thickBot="1">
      <c r="A34" s="134" t="s">
        <v>16</v>
      </c>
      <c r="B34" s="110"/>
      <c r="C34" s="143"/>
      <c r="D34" s="135" t="s">
        <v>16</v>
      </c>
      <c r="E34" s="113" t="s">
        <v>16</v>
      </c>
      <c r="F34" s="114" t="s">
        <v>16</v>
      </c>
      <c r="G34" s="115" t="s">
        <v>16</v>
      </c>
      <c r="H34" s="118" t="s">
        <v>16</v>
      </c>
      <c r="I34" s="144" t="s">
        <v>16</v>
      </c>
      <c r="J34" s="118" t="s">
        <v>16</v>
      </c>
      <c r="K34" s="118" t="s">
        <v>16</v>
      </c>
      <c r="L34" s="144" t="s">
        <v>16</v>
      </c>
      <c r="M34" s="118" t="s">
        <v>16</v>
      </c>
      <c r="N34" s="118" t="s">
        <v>16</v>
      </c>
      <c r="O34" s="144" t="s">
        <v>16</v>
      </c>
      <c r="P34" s="118" t="s">
        <v>16</v>
      </c>
      <c r="Q34" s="137"/>
      <c r="R34" s="176"/>
      <c r="S34" s="201"/>
      <c r="T34" s="145"/>
      <c r="U34" s="146"/>
    </row>
    <row r="35" spans="1:19" ht="12.75">
      <c r="A35" s="147" t="s">
        <v>118</v>
      </c>
      <c r="B35" s="147"/>
      <c r="C35" s="147"/>
      <c r="D35" s="147"/>
      <c r="E35" s="147"/>
      <c r="F35" s="147"/>
      <c r="G35" s="147"/>
      <c r="H35" s="148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2.75">
      <c r="A36" s="149" t="s">
        <v>119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8" ht="12.75">
      <c r="A38" s="202" t="s">
        <v>130</v>
      </c>
    </row>
  </sheetData>
  <sheetProtection/>
  <mergeCells count="13">
    <mergeCell ref="A30:G30"/>
    <mergeCell ref="Q2:S2"/>
    <mergeCell ref="T7:U11"/>
    <mergeCell ref="A1:U1"/>
    <mergeCell ref="D2:G2"/>
    <mergeCell ref="H2:J2"/>
    <mergeCell ref="K2:M2"/>
    <mergeCell ref="T2:U2"/>
    <mergeCell ref="T31:U32"/>
    <mergeCell ref="N2:P2"/>
    <mergeCell ref="A17:G17"/>
    <mergeCell ref="T18:U19"/>
    <mergeCell ref="T21:U23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ØKO-27-11-2013 - Bilag 1285.01 Takster 2014 Special og ældreområdet</dc:title>
  <dc:subject>ØVRIGE</dc:subject>
  <dc:creator>SOPO</dc:creator>
  <cp:keywords/>
  <dc:description/>
  <cp:lastModifiedBy>Søren Poulsen</cp:lastModifiedBy>
  <cp:lastPrinted>2013-11-15T11:00:57Z</cp:lastPrinted>
  <dcterms:created xsi:type="dcterms:W3CDTF">1996-11-12T13:28:11Z</dcterms:created>
  <dcterms:modified xsi:type="dcterms:W3CDTF">2013-11-28T10:18:27Z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27-11-2013</vt:lpwstr>
  </property>
  <property fmtid="{D5CDD505-2E9C-101B-9397-08002B2CF9AE}" pid="5" name="MeetingDateAndTi">
    <vt:lpwstr>27-11-2013 fra 13:00 - 14:45</vt:lpwstr>
  </property>
  <property fmtid="{D5CDD505-2E9C-101B-9397-08002B2CF9AE}" pid="6" name="AccessLevelNa">
    <vt:lpwstr>Åben</vt:lpwstr>
  </property>
  <property fmtid="{D5CDD505-2E9C-101B-9397-08002B2CF9AE}" pid="7" name="Fusion">
    <vt:lpwstr>1408611</vt:lpwstr>
  </property>
  <property fmtid="{D5CDD505-2E9C-101B-9397-08002B2CF9AE}" pid="8" name="SortOrd">
    <vt:lpwstr>1</vt:lpwstr>
  </property>
  <property fmtid="{D5CDD505-2E9C-101B-9397-08002B2CF9AE}" pid="9" name="MeetingEndDa">
    <vt:lpwstr>2013-11-27T14:45:00Z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142228/13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2013-11-27T13:00:00Z</vt:lpwstr>
  </property>
  <property fmtid="{D5CDD505-2E9C-101B-9397-08002B2CF9AE}" pid="14" name="PWDescripti">
    <vt:lpwstr/>
  </property>
  <property fmtid="{D5CDD505-2E9C-101B-9397-08002B2CF9AE}" pid="15" name="U">
    <vt:lpwstr>1245191</vt:lpwstr>
  </property>
  <property fmtid="{D5CDD505-2E9C-101B-9397-08002B2CF9AE}" pid="16" name="PWFileTy">
    <vt:lpwstr>.XLS</vt:lpwstr>
  </property>
  <property fmtid="{D5CDD505-2E9C-101B-9397-08002B2CF9AE}" pid="17" name="Agenda">
    <vt:lpwstr>1840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